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Read Me" sheetId="2" state="visible" r:id="rId4"/>
    <sheet name="Assumptions" sheetId="3" state="visible" r:id="rId5"/>
    <sheet name="Raise Ladder" sheetId="4" state="visible" r:id="rId6"/>
    <sheet name="ARR Forecast" sheetId="5" state="visible" r:id="rId7"/>
    <sheet name="Headcount Plan" sheetId="6" state="visible" r:id="rId8"/>
    <sheet name="Budget - OpEx" sheetId="7" state="visible" r:id="rId9"/>
    <sheet name="Budget - CapEx" sheetId="8" state="visible" r:id="rId10"/>
    <sheet name="P&amp;L" sheetId="9" state="visible" r:id="rId11"/>
    <sheet name="Cash &amp; Runway" sheetId="10" state="visible" r:id="rId12"/>
    <sheet name="Milestones" sheetId="11" state="visible" r:id="rId13"/>
    <sheet name="Sensitivity" sheetId="12" state="visible" r:id="rId14"/>
    <sheet name="Sources &amp; Caveats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<sst xmlns="http://schemas.openxmlformats.org/spreadsheetml/2006/main" count="482" uniqueCount="301">
  <si>
    <t xml:space="preserve">CRBRL</t>
  </si>
  <si>
    <t xml:space="preserve">/ˈsɛr.ɪ.brəl/  ·  COMPRESSION</t>
  </si>
  <si>
    <t xml:space="preserve">Five-Year Financial Plan &amp; Capital Strategy  ·  FY2026–FY2031</t>
  </si>
  <si>
    <t xml:space="preserve">Forecast · budget · raise ladder · milestones — conservative / base / optimistic</t>
  </si>
  <si>
    <t xml:space="preserve">Prepared by Precog Labs  ·  21 July 2026  ·  Strictly private &amp; confidential  ·  All figures USD</t>
  </si>
  <si>
    <t xml:space="preserve">HEADLINES (live-linked)</t>
  </si>
  <si>
    <t xml:space="preserve">Base exit ARR 2031</t>
  </si>
  <si>
    <t xml:space="preserve">$M run-rate</t>
  </si>
  <si>
    <t xml:space="preserve">Target valuation, end of plan (base)</t>
  </si>
  <si>
    <t xml:space="preserve">$M — the $1B Series B, held on durable ARR</t>
  </si>
  <si>
    <t xml:space="preserve">Range (conservative → optimistic)</t>
  </si>
  <si>
    <t xml:space="preserve">500 → 2,400</t>
  </si>
  <si>
    <t xml:space="preserve">$M post-money</t>
  </si>
  <si>
    <t xml:space="preserve">Total primary capital raised (base)</t>
  </si>
  <si>
    <t xml:space="preserve">$M across seed, A, B</t>
  </si>
  <si>
    <t xml:space="preserve">Founders + insiders at Series B (base)</t>
  </si>
  <si>
    <t xml:space="preserve">≈ $500M stake at the $1B mark</t>
  </si>
  <si>
    <t xml:space="preserve">5-year operating budget (base)</t>
  </si>
  <si>
    <t xml:space="preserve">$M total OpEx 2026-2031</t>
  </si>
  <si>
    <t xml:space="preserve">5-year CapEx (base)</t>
  </si>
  <si>
    <t xml:space="preserve">$M — deliberately light</t>
  </si>
  <si>
    <t xml:space="preserve">Store 8× more on disk. Retrieve at the same fidelity. Pay a fraction.</t>
  </si>
  <si>
    <t xml:space="preserve">Peer-reviewed (arXiv:2504.19874) · compression-native architecture · disk-persistent · vector + graph in one engine</t>
  </si>
  <si>
    <t xml:space="preserve">How to use this model</t>
  </si>
  <si>
    <t xml:space="preserve">One workbook, three scenarios, every assumption editable.</t>
  </si>
  <si>
    <t xml:space="preserve">CRBRL  ·  Precog Labs  ·  Strictly private &amp; confidential  ·  Prepared 21 July 2026</t>
  </si>
  <si>
    <t xml:space="preserve">Legend</t>
  </si>
  <si>
    <t xml:space="preserve">CREAM FILL = editable input. Black = formula on the same tab. Green text = link from another tab. Nothing is hardcoded downstream of an input.</t>
  </si>
  <si>
    <t xml:space="preserve">Units</t>
  </si>
  <si>
    <t xml:space="preserve">Operating tabs (ARR, Budget, P&amp;L, Cash) are US$000s. Valuation tabs (Raise Ladder, Milestones, Sensitivity grid) are US$M. Years are calendar; 2026 is a six-month stub (Jul–Dec).</t>
  </si>
  <si>
    <t xml:space="preserve">Scenario logic</t>
  </si>
  <si>
    <t xml:space="preserve">Conservative / Base / Optimistic each carry their own ARR curve, headcount, gross margins, raise ladder and cash flow. Base is the plan; conservative is the commitment-grade floor; optimistic is the breakout case — model it, don't budget on it.</t>
  </si>
  <si>
    <t xml:space="preserve">Order of dependence</t>
  </si>
  <si>
    <t xml:space="preserve">Assumptions → ARR Forecast + Headcount Plan → Budget (OpEx, CapEx) → P&amp;L → Cash &amp; Runway. Raise Ladder feeds Cash via the proceeds rows (keep timing in sync manually — they are cream inputs in both places).</t>
  </si>
  <si>
    <t xml:space="preserve">What to flex first</t>
  </si>
  <si>
    <t xml:space="preserve">Seed close timing and amount; ARR curve; headcount pace. The Sensitivity tab ranks the levers.</t>
  </si>
  <si>
    <t xml:space="preserve">STRATA-DB</t>
  </si>
  <si>
    <t xml:space="preserve">Carried as a costed incubation line (Budget - OpEx) with ZERO revenue credit in every scenario. Hard gate end-2029: its own funded plan or wind-down. Any STRATA-DB revenue is pure upside to these numbers.</t>
  </si>
  <si>
    <t xml:space="preserve">What this is not</t>
  </si>
  <si>
    <t xml:space="preserve">Not accounting advice, not a tax position (RDTI line requires AU counsel), not a promise. Valuations are scenario maths on benchmarked multiples, not guarantees.</t>
  </si>
  <si>
    <t xml:space="preserve">Companion</t>
  </si>
  <si>
    <t xml:space="preserve">CRBRL_Financial_Analysis_2026-2031.docx — the narrative report. Same numbers, same date.</t>
  </si>
  <si>
    <t xml:space="preserve">Assumptions — all editable inputs</t>
  </si>
  <si>
    <t xml:space="preserve">Cream cells are inputs. Change them and the whole model recalculates. USD $000s unless marked.</t>
  </si>
  <si>
    <t xml:space="preserve">GLOBAL</t>
  </si>
  <si>
    <t xml:space="preserve">Fully-loaded cost per FTE, blended (US$000s/yr, 2026)</t>
  </si>
  <si>
    <t xml:space="preserve">Blended AU/US/remote; below pure-US market. Source: CRBRL_Financial_Model_v2 bands + Nexus model $165-190k.</t>
  </si>
  <si>
    <t xml:space="preserve">Wage inflation (%/yr)</t>
  </si>
  <si>
    <t xml:space="preserve">Applied to cost per FTE from 2027.</t>
  </si>
  <si>
    <t xml:space="preserve">Contingency (% of opex subtotal)</t>
  </si>
  <si>
    <t xml:space="preserve">Buffer for unmodelled costs; standard planning practice.</t>
  </si>
  <si>
    <t xml:space="preserve">Cash safety floor (US$000s)</t>
  </si>
  <si>
    <t xml:space="preserve">~6 months base burn early on — trigger point for bridge/raise. Per Financial Model v2.</t>
  </si>
  <si>
    <t xml:space="preserve">Founder bridge at start (US$000s, Jul 2026)</t>
  </si>
  <si>
    <t xml:space="preserve">Starting cash before any round closes. Founder-stated assumption.</t>
  </si>
  <si>
    <t xml:space="preserve">GROSS MARGIN BY SCENARIO (blended: self-host support, managed cloud, channel)</t>
  </si>
  <si>
    <t xml:space="preserve">Conservative</t>
  </si>
  <si>
    <t xml:space="preserve">Base</t>
  </si>
  <si>
    <t xml:space="preserve">Infra GM band 55-70% (a16z/ICONIQ); compression + disk-first COGS edge lifts ceiling. Pinecone reported 60-70%.</t>
  </si>
  <si>
    <t xml:space="preserve">Optimistic</t>
  </si>
  <si>
    <t xml:space="preserve">NON-DILUTIVE — AU R&amp;D TAX INCENTIVE (RDTI), US$000s received in year shown</t>
  </si>
  <si>
    <t xml:space="preserve">43.5% refundable offset on eligible AU R&amp;D while &lt;A$20M turnover, received in arrears. Assumes IP/R&amp;D retained in AusCo through the Delaware flip; STOPS after 2029 (structure/turnover). NOT advice — confirm with AU tax counsel.</t>
  </si>
  <si>
    <t xml:space="preserve">Earlier full US flip ends eligibility sooner.</t>
  </si>
  <si>
    <t xml:space="preserve">VALUATION MULTIPLES (forward EV/ARR, AI-infra band)</t>
  </si>
  <si>
    <t xml:space="preserve">Low / Base / High multiple (x)</t>
  </si>
  <si>
    <t xml:space="preserve">2025-26 private AI-infra rounds band 20-50x; 25-35x is the defensible core. Conventional SaaS 12-18x if NOT credited as category-defining infra.</t>
  </si>
  <si>
    <t xml:space="preserve">PER-FTE ANNUAL RATES (US$000s)</t>
  </si>
  <si>
    <t xml:space="preserve">Software, tools &amp; remote office per FTE</t>
  </si>
  <si>
    <t xml:space="preserve">$1,200/month per FTE.</t>
  </si>
  <si>
    <t xml:space="preserve">Travel &amp; conferences per FTE (blended)</t>
  </si>
  <si>
    <t xml:space="preserve">$750/month blended; sales roles run ~2x, engineering ~0.5x.</t>
  </si>
  <si>
    <t xml:space="preserve">New-hire equipment per hire (CapEx)</t>
  </si>
  <si>
    <t xml:space="preserve">Equipment refresh per FTE (CapEx)</t>
  </si>
  <si>
    <t xml:space="preserve">Every input above is a planning assumption prepared 21 Jul 2026 from the sources on the 'Sources &amp; Caveats' tab — not a guarantee.</t>
  </si>
  <si>
    <t xml:space="preserve">Capital raise ladder &amp; ownership (US$M unless noted)</t>
  </si>
  <si>
    <t xml:space="preserve">Cream = input. Three scenario ladders; ownership waterfall on the recommended (base) ladder.</t>
  </si>
  <si>
    <t xml:space="preserve">BASE LADDER (recommended)</t>
  </si>
  <si>
    <t xml:space="preserve">Round</t>
  </si>
  <si>
    <t xml:space="preserve">Target close</t>
  </si>
  <si>
    <t xml:space="preserve">Raise ($M)</t>
  </si>
  <si>
    <t xml:space="preserve">Post-money ($M)</t>
  </si>
  <si>
    <t xml:space="preserve">Pre-money ($M)</t>
  </si>
  <si>
    <t xml:space="preserve">New investor %</t>
  </si>
  <si>
    <t xml:space="preserve">ESOP top-up %</t>
  </si>
  <si>
    <t xml:space="preserve">Seed (currently in market, labelled pre-seed)</t>
  </si>
  <si>
    <t xml:space="preserve">Q4 2026</t>
  </si>
  <si>
    <t xml:space="preserve">Series A</t>
  </si>
  <si>
    <t xml:space="preserve">Q1 2028</t>
  </si>
  <si>
    <t xml:space="preserve">Series B — the $1B event</t>
  </si>
  <si>
    <t xml:space="preserve">H2 2030</t>
  </si>
  <si>
    <t xml:space="preserve">Seed at $22M pre is a slight premium to the ~$18-24M AI seed median — earned by GA product + benchmarks. Series A $100M post needs ~$4M ARR at ~25x forward. Series B $1B on ~$20M ARR growing to $34M is a top-decile ~35-40x forward print — only defensible with category-leadership signals (see Milestones).</t>
  </si>
  <si>
    <t xml:space="preserve">CONSERVATIVE LADDER</t>
  </si>
  <si>
    <t xml:space="preserve">Bridge SAFE (founders/angels)</t>
  </si>
  <si>
    <t xml:space="preserve">Seed</t>
  </si>
  <si>
    <t xml:space="preserve">Q1 2027</t>
  </si>
  <si>
    <t xml:space="preserve">Q3 2028</t>
  </si>
  <si>
    <t xml:space="preserve">Series B</t>
  </si>
  <si>
    <t xml:space="preserve">Q1 2031</t>
  </si>
  <si>
    <t xml:space="preserve">Assumes the seed slips a quarter and prices at the AI-seed median. The bridge keeps the company above the cash floor until close. $500M Series B on ~$17M forward ARR at ~30x = the 'credible target' from the Path-to-B analysis.</t>
  </si>
  <si>
    <t xml:space="preserve">OPTIMISTIC LADDER</t>
  </si>
  <si>
    <t xml:space="preserve">Q3 2027</t>
  </si>
  <si>
    <t xml:space="preserve">H2 2029</t>
  </si>
  <si>
    <t xml:space="preserve">Series C</t>
  </si>
  <si>
    <t xml:space="preserve">H1 2031</t>
  </si>
  <si>
    <t xml:space="preserve">Chroma-shaped seed ($18M at $75M was the outlier ceiling; $7M at $45M is the earn-able version with strong OSS traction). Series C at ~$2.4B post on ~$60M forward ARR at ~40x. This is the Turbopuffer path — momentum + marquee logos.</t>
  </si>
  <si>
    <t xml:space="preserve">OWNERSHIP WATERFALL — BASE LADDER (% fully diluted)</t>
  </si>
  <si>
    <t xml:space="preserve">Holder class</t>
  </si>
  <si>
    <t xml:space="preserve">After Seed</t>
  </si>
  <si>
    <t xml:space="preserve">After Series A</t>
  </si>
  <si>
    <t xml:space="preserve">After Series B</t>
  </si>
  <si>
    <t xml:space="preserve">Founders + Six Degrees + early holders</t>
  </si>
  <si>
    <t xml:space="preserve">ESOP (cumulative, approx.)</t>
  </si>
  <si>
    <t xml:space="preserve">Outside investors (cumulative)</t>
  </si>
  <si>
    <t xml:space="preserve">Check — total</t>
  </si>
  <si>
    <t xml:space="preserve">Founder + insider stake value at the $1B Series B</t>
  </si>
  <si>
    <t xml:space="preserve">US structure note: institutional rounds price into a Delaware C-Corp TopCo (flip at seed, ~US$30k, keep IP in AusCo where advisers confirm). Jeff/US-ops equity must be reconciled at TopCo level BEFORE the priced seed — retrofit after a priced round is expensive. Never pay % of capital raised as a fee (securities law).</t>
  </si>
  <si>
    <t xml:space="preserve">ARR Forecast — three scenarios</t>
  </si>
  <si>
    <t xml:space="preserve">Exit (year-end run-rate) ARR in US$000s. Cream = input. Recognised revenue = average of opening and closing ARR (2026 = H2 ramp).</t>
  </si>
  <si>
    <t xml:space="preserve">CONSERVATIVE SCENARIO</t>
  </si>
  <si>
    <t xml:space="preserve">US$000s</t>
  </si>
  <si>
    <t xml:space="preserve">2026 (H2)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</si>
  <si>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</si>
  <si>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</si>
  <si>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</si>
  <si>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</si>
  <si>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</si>
  <si>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Exit ARR (year-end run-rate)</t>
  </si>
  <si>
    <t xml:space="preserve">Slower conversion; seed slips to Q1-27; Series B early 2031 at ~$500M post.</t>
  </si>
  <si>
    <t xml:space="preserve">YoY growth multiple</t>
  </si>
  <si>
    <t xml:space="preserve">Recognised revenue (avg ARR)</t>
  </si>
  <si>
    <t xml:space="preserve">BASE SCENARIO</t>
  </si>
  <si>
    <t xml:space="preserve">Matches Path-to-B KPI gates: seed ~$1M ARR, Series A ~$4M, Series B ~$20M growing to $34M.</t>
  </si>
  <si>
    <t xml:space="preserve">OPTIMISTIC SCENARIO</t>
  </si>
  <si>
    <t xml:space="preserve">Turbopuffer-class breakout; Series B at $1B in H2-29; Series C 2031.</t>
  </si>
  <si>
    <t xml:space="preserve">Anchors: base growth ladder 10x → 4x → 2.5x → 2.0x → 1.7x sits inside ICONIQ top-quartile envelopes ($1-10M ~515% yoy; $25-100M ~93%). Conservative still implies a top-half infra outcome. Optimistic requires a Turbopuffer-class breakout — model it, do not budget on it.</t>
  </si>
  <si>
    <t xml:space="preserve">Headcount Plan — team expansion by function</t>
  </si>
  <si>
    <t xml:space="preserve">End-of-year FTE. Base case detailed by function; scenario totals for conservative / optimistic. Cream = input.</t>
  </si>
  <si>
    <t xml:space="preserve">BASE CASE — FTE BY FUNCTION (end of year)</t>
  </si>
  <si>
    <t xml:space="preserve">Founders &amp; executive</t>
  </si>
  <si>
    <t xml:space="preserve">CEO + CTO; +VP Eng 2028; +CRO &amp; CFO at Series B (2030); +VP Marketing 2031. Per Path-to-B org ladder.</t>
  </si>
  <si>
    <t xml:space="preserve">Engineering (core, codec, crbrl-pg, platform)</t>
  </si>
  <si>
    <t xml:space="preserve">Storage, distributed systems, Rust/pgrx, .NET server; mid-level fill from 2028.</t>
  </si>
  <si>
    <t xml:space="preserve">DevRel &amp; community</t>
  </si>
  <si>
    <t xml:space="preserve">First DevRel lead at seed — the PLG engine. Docs, Discord, benchmarks.</t>
  </si>
  <si>
    <t xml:space="preserve">Sales &amp; marketing</t>
  </si>
  <si>
    <t xml:space="preserve">Founding AE + marketing at seed; scaled enterprise motion post-A; RevOps at B.</t>
  </si>
  <si>
    <t xml:space="preserve">Solutions &amp; customer success</t>
  </si>
  <si>
    <t xml:space="preserve">Pre-sales SA at seed; CS engineers as logos land.</t>
  </si>
  <si>
    <t xml:space="preserve">G&amp;A &amp; operations</t>
  </si>
  <si>
    <t xml:space="preserve">Fractional CFO through Series A (0.5-1 FTE), then finance/people/legal ops.</t>
  </si>
  <si>
    <t xml:space="preserve">TOTAL FTE — Base (end of year)</t>
  </si>
  <si>
    <t xml:space="preserve">SCENARIO TOTALS (end of year)</t>
  </si>
  <si>
    <t xml:space="preserve">Conservative — total FTE</t>
  </si>
  <si>
    <t xml:space="preserve">Slower hiring gated to slower raise timing; protects runway.</t>
  </si>
  <si>
    <t xml:space="preserve">Optimistic — total FTE</t>
  </si>
  <si>
    <t xml:space="preserve">Tracks Series B org benchmark 70-90 by the round, 120 a year after.</t>
  </si>
  <si>
    <t xml:space="preserve">AVERAGE FTE IN YEAR (drives payroll; opening 2026 = 2 founders)</t>
  </si>
  <si>
    <t xml:space="preserve">Conservative — average FTE</t>
  </si>
  <si>
    <t xml:space="preserve">Base — average FTE</t>
  </si>
  <si>
    <t xml:space="preserve">Optimistic — average FTE</t>
  </si>
  <si>
    <t xml:space="preserve">Principle (Path-to-B org ladder): hire the function one stage before the stage that needs it. Founder salaries stay below market — equity-weighted.</t>
  </si>
  <si>
    <t xml:space="preserve">Operating budget — base case (US$000s)</t>
  </si>
  <si>
    <t xml:space="preserve">Non-payroll lines are cream inputs; payroll and per-FTE lines are formulas. Conservative / optimistic opex is derived on the P&amp;L tab by FTE scaling.</t>
  </si>
  <si>
    <t xml:space="preserve">PAYROLL (fully loaded — salary, tax, benefits, equipment loading)</t>
  </si>
  <si>
    <t xml:space="preserve">Payroll — Base (avg FTE x cost per head)</t>
  </si>
  <si>
    <t xml:space="preserve">2026 is a 6-month stub (x0.5).</t>
  </si>
  <si>
    <t xml:space="preserve">NON-PAYROLL OPERATING LINES (cream = input)</t>
  </si>
  <si>
    <t xml:space="preserve">Cloud &amp; development infrastructure</t>
  </si>
  <si>
    <t xml:space="preserve">Dev/test/CI, benchmark runs, managed-cloud platform build. COGS for customer workloads sits in gross margin, not here.</t>
  </si>
  <si>
    <t xml:space="preserve">Marketing programs &amp; demand generation</t>
  </si>
  <si>
    <t xml:space="preserve">Content engine, sponsorships, events, paid. Excludes people (in payroll).</t>
  </si>
  <si>
    <t xml:space="preserve">Compliance &amp; certifications</t>
  </si>
  <si>
    <t xml:space="preserve">SOC 2 Type I-&gt;II from 2027, ISO 27001 2028, pen tests, tooling. Gate for enterprise waves.</t>
  </si>
  <si>
    <t xml:space="preserve">Legal &amp; IP (entity, rounds, patents, contracts)</t>
  </si>
  <si>
    <t xml:space="preserve">Delaware flip ~US$30k at seed; round legals; patent filings; commercial contracts; US entity/Jeff structuring.</t>
  </si>
  <si>
    <t xml:space="preserve">Accounting, tax &amp; insurance</t>
  </si>
  <si>
    <t xml:space="preserve">Bookkeeping, audit-readiness from 2028, D&amp;O + cyber insurance.</t>
  </si>
  <si>
    <t xml:space="preserve">Software, tools &amp; remote office (per-FTE formula)</t>
  </si>
  <si>
    <t xml:space="preserve">Travel &amp; conferences (per-FTE formula)</t>
  </si>
  <si>
    <t xml:space="preserve">STRATA-DB incubation R&amp;D (upside bet — gated)</t>
  </si>
  <si>
    <t xml:space="preserve">Token-native database bet: ~1.5 then ~3 engineers equivalent, contractors + infra. HARD GATE end-2029: graduates to its own funded plan or winds down. Base revenue plan takes ZERO credit for it.</t>
  </si>
  <si>
    <t xml:space="preserve">TOTALS</t>
  </si>
  <si>
    <t xml:space="preserve">Scalable non-payroll pool (cloud+mktg+comp+legal+acct)</t>
  </si>
  <si>
    <t xml:space="preserve">This pool scales with FTE ratio for the conservative / optimistic scenarios on the P&amp;L tab.</t>
  </si>
  <si>
    <t xml:space="preserve">Subtotal opex before contingency</t>
  </si>
  <si>
    <t xml:space="preserve">Contingency</t>
  </si>
  <si>
    <t xml:space="preserve">TOTAL OPERATING EXPENSES — Base</t>
  </si>
  <si>
    <t xml:space="preserve">R&amp;D share of opex runs ~65% in 2026-27 tapering to ~45% by 2030 as GTM scales — consistent with Financial Model v2 ratios.</t>
  </si>
  <si>
    <t xml:space="preserve">Capital expenditure — deliberately light (US$000s)</t>
  </si>
  <si>
    <t xml:space="preserve">Disk-first software business: no data-centre build. CapEx = team equipment, benchmark/test hardware, later office fit-out.</t>
  </si>
  <si>
    <t xml:space="preserve">BASE CASE</t>
  </si>
  <si>
    <t xml:space="preserve">New-hire equipment (hires x rate)</t>
  </si>
  <si>
    <t xml:space="preserve">Equipment refresh (avg FTE x rate)</t>
  </si>
  <si>
    <t xml:space="preserve">Benchmark &amp; test hardware</t>
  </si>
  <si>
    <t xml:space="preserve">On-prem NVMe/SSD rigs for reproducible published benchmarks — the proof engine behind every raise gate.</t>
  </si>
  <si>
    <t xml:space="preserve">Office fit-out (remote-first until 2029)</t>
  </si>
  <si>
    <t xml:space="preserve">Sydney + US hub space as team passes ~30 FTE.</t>
  </si>
  <si>
    <t xml:space="preserve">TOTAL CAPEX — Base</t>
  </si>
  <si>
    <t xml:space="preserve">SCENARIO CAPEX (scaled)</t>
  </si>
  <si>
    <t xml:space="preserve">Conservative — total CapEx</t>
  </si>
  <si>
    <t xml:space="preserve">Optimistic — total CapEx</t>
  </si>
  <si>
    <t xml:space="preserve">5-year base CapEx totals ~US$2.5M — under 3% of total spend. The heavy 'infrastructure' economics live in COGS/gross margin, where compression-native disk-first architecture is the advantage.</t>
  </si>
  <si>
    <t xml:space="preserve">Profit &amp; loss — three scenarios (US$000s)</t>
  </si>
  <si>
    <t xml:space="preserve">Revenue from ARR Forecast; opex from Budget tabs (conservative / optimistic scale the base non-payroll pool by FTE ratio).</t>
  </si>
  <si>
    <t xml:space="preserve">Recognised revenue</t>
  </si>
  <si>
    <t xml:space="preserve">Cost of revenue</t>
  </si>
  <si>
    <t xml:space="preserve">Gross profit</t>
  </si>
  <si>
    <t xml:space="preserve">Gross margin %</t>
  </si>
  <si>
    <t xml:space="preserve">Total operating expenses</t>
  </si>
  <si>
    <t xml:space="preserve">Own payroll + base non-payroll pool scaled by FTE ratio + per-FTE lines + contingency. STRATA-DB excluded in conservative.</t>
  </si>
  <si>
    <t xml:space="preserve">EBITDA</t>
  </si>
  <si>
    <t xml:space="preserve">EBITDA margin</t>
  </si>
  <si>
    <t xml:space="preserve">Net burn (EBITDA less CapEx)</t>
  </si>
  <si>
    <t xml:space="preserve">Burn multiple (net burn / net new ARR)</t>
  </si>
  <si>
    <t xml:space="preserve">Sacks: &lt;1.5 great, ~2.0 market median. The efficiency story that protects the Series B multiple.</t>
  </si>
  <si>
    <t xml:space="preserve">Own payroll + base non-payroll pool scaled by FTE ratio + per-FTE lines + contingency. STRATA-DB included.</t>
  </si>
  <si>
    <t xml:space="preserve">Cash flow &amp; runway — funds available at each stage (US$000s)</t>
  </si>
  <si>
    <t xml:space="preserve">Closing cash = opening + round proceeds + RDTI + EBITDA − CapEx. Round proceeds land in the close year (cream timing inputs on Raise Ladder).</t>
  </si>
  <si>
    <t xml:space="preserve">Opening cash</t>
  </si>
  <si>
    <t xml:space="preserve">Round proceeds (incl. bridge)</t>
  </si>
  <si>
    <t xml:space="preserve">Mirrors the scenario ladder on the Raise Ladder tab — keep the two in sync when flexing timing.</t>
  </si>
  <si>
    <t xml:space="preserve">RDTI refund (non-dilutive)</t>
  </si>
  <si>
    <t xml:space="preserve">CapEx</t>
  </si>
  <si>
    <t xml:space="preserve">CLOSING CASH</t>
  </si>
  <si>
    <t xml:space="preserve">Runway (months, at next-year burn rate)</t>
  </si>
  <si>
    <t xml:space="preserve">Capped at 99 = cash-flow positive or funded beyond horizon.</t>
  </si>
  <si>
    <t xml:space="preserve">Memo: monthly gross burn next year</t>
  </si>
  <si>
    <t xml:space="preserve">Cash floor check</t>
  </si>
  <si>
    <t xml:space="preserve">Funds available at each stage (cash immediately post-close) — read the CLOSING CASH row in the close year. Intra-year troughs run lower than year-end figures: base-case trough ~US$1.4M just before the Series A (Q1 2028) — inside the floor's warning band, which is exactly why the A process starts mid-2027.</t>
  </si>
  <si>
    <t xml:space="preserve">Reverse-engineered milestones — from target valuation back to today</t>
  </si>
  <si>
    <t xml:space="preserve">Work backwards: target post-money ÷ forward multiple = ARR gate → customers, logos, community, team. Ranges: conservative → base → optimistic.</t>
  </si>
  <si>
    <t xml:space="preserve">END-OF-PLAN TARGET (mid-2031)</t>
  </si>
  <si>
    <t xml:space="preserve">Notes</t>
  </si>
  <si>
    <t xml:space="preserve">Company valuation (post, $M)</t>
  </si>
  <si>
    <t xml:space="preserve">Conservative = $500M Series B (the 'credible target'). Base = $1B Series B held/validated. Optimistic = ~$2.4B Series C.</t>
  </si>
  <si>
    <t xml:space="preserve">Forward EV/ARR multiple assumed (x)</t>
  </si>
  <si>
    <t xml:space="preserve">Base multiple 30x; optimistic uses the high band 35x+ (momentum).</t>
  </si>
  <si>
    <t xml:space="preserve">Implied forward ARR required ($M)</t>
  </si>
  <si>
    <t xml:space="preserve">The single hardest constraint in the plan. Everything below exists to make this number true.</t>
  </si>
  <si>
    <t xml:space="preserve">SEED GATE (close Q4 2026 – Q1 2027)</t>
  </si>
  <si>
    <t xml:space="preserve">ARR at raise ($M)</t>
  </si>
  <si>
    <t xml:space="preserve">Design partners converting to paid.</t>
  </si>
  <si>
    <t xml:space="preserve">Paying customers (self-serve + partners)</t>
  </si>
  <si>
    <t xml:space="preserve">Enterprise design partners</t>
  </si>
  <si>
    <t xml:space="preserve">≥2 converting to paid contracts.</t>
  </si>
  <si>
    <t xml:space="preserve">GitHub stars</t>
  </si>
  <si>
    <t xml:space="preserve">Reproducible public benchmarks vs Pinecone/Qdrant published.</t>
  </si>
  <si>
    <t xml:space="preserve">Team (FTE)</t>
  </si>
  <si>
    <t xml:space="preserve">Proof that unlocks the round</t>
  </si>
  <si>
    <t xml:space="preserve">Benchmarks + design-partner pull</t>
  </si>
  <si>
    <t xml:space="preserve">GA product + paid conversions</t>
  </si>
  <si>
    <t xml:space="preserve">OSS traction curve</t>
  </si>
  <si>
    <t xml:space="preserve">SERIES A GATE (Q3 2027 – Q3 2028)</t>
  </si>
  <si>
    <t xml:space="preserve">AI Series A bar in 2026: ~$3-3.5M ARR, NRR 120%, GM 60%+.</t>
  </si>
  <si>
    <t xml:space="preserve">Paying customers</t>
  </si>
  <si>
    <t xml:space="preserve">Enterprise logos</t>
  </si>
  <si>
    <t xml:space="preserve">NRR &gt;120%; CAC payback &lt;18 months.</t>
  </si>
  <si>
    <t xml:space="preserve">VP Engineering + Head of Sales hired.</t>
  </si>
  <si>
    <t xml:space="preserve">Repeatable self-serve funnel</t>
  </si>
  <si>
    <t xml:space="preserve">Repeatable PLG + enterprise motion</t>
  </si>
  <si>
    <t xml:space="preserve">Category-fastest growth</t>
  </si>
  <si>
    <t xml:space="preserve">SERIES B GATE (H2 2029 – Q1 2031)</t>
  </si>
  <si>
    <t xml:space="preserve">$500M @30x needs ~$17M fwd; $1B needs $25-33M (or ~$20M growing 70%+ with leadership signals).</t>
  </si>
  <si>
    <t xml:space="preserve">Enterprise logos (7-figure contracts among them)</t>
  </si>
  <si>
    <t xml:space="preserve">NRR &gt;120%; GM 70%+; burn multiple &lt;1.5; Rule-of-40 approaching.</t>
  </si>
  <si>
    <t xml:space="preserve">CRO, CFO, VP Marketing, RevOps, security lead.</t>
  </si>
  <si>
    <t xml:space="preserve">Durable cost-advantaged economics</t>
  </si>
  <si>
    <t xml:space="preserve">Category leadership + marquee logos</t>
  </si>
  <si>
    <t xml:space="preserve">Breakout momentum + multi-product</t>
  </si>
  <si>
    <t xml:space="preserve">Reality anchors (Path-to-B model): Pinecone's $750M (2023, ~$7M ARR, ~21x forward... effectively ~100x trailing) did NOT hold — no Series C as of mid-2026. Weaviate's B→C was flat. A headline multiple on thin ARR does not survive; durable ARR + retention does. Hit the ARR gates and the valuation follows — chase the valuation without them and the next round re-prices you.</t>
  </si>
  <si>
    <t xml:space="preserve">Sensitivity — what moves the outcome</t>
  </si>
  <si>
    <t xml:space="preserve">Series B/C valuation grid (ARR × multiple) and seed-timing runway stress.</t>
  </si>
  <si>
    <t xml:space="preserve">VALUATION GRID — post-money ($M) = forward ARR x multiple</t>
  </si>
  <si>
    <t xml:space="preserve">Forward ARR ($M) \ Multiple (x)</t>
  </si>
  <si>
    <t xml:space="preserve">Read: $500M needs $17M ARR at 30x (or $25M at 20x if multiples compress). $1B needs $33M at 30x — or $25M at 40x, which requires momentum. $2.4B (Series C) needs ~$60M at 40x. Multiple compression risk: if AI-infra re-rates to conventional SaaS 12-18x, the SAME $1B needs $55-85M ARR.</t>
  </si>
  <si>
    <t xml:space="preserve">SEED TIMING STRESS (base burn, US$000s)</t>
  </si>
  <si>
    <t xml:space="preserve">Monthly burn H2-2026 (pre-seed-close)</t>
  </si>
  <si>
    <t xml:space="preserve">Months of cover from founder bridge alone</t>
  </si>
  <si>
    <t xml:space="preserve">Verdict</t>
  </si>
  <si>
    <t xml:space="preserve">Seed close is the binding constraint: if it slips past ~Q1 2027, a bridge SAFE (US$0.5-1.0M) is REQUIRED — modelled in the conservative ladder. Start the bridge conversation before you need it.</t>
  </si>
  <si>
    <t xml:space="preserve">Other levers ranked by impact on the 5-year outcome: (1) seed close timing, (2) Series A ARR gate timing (drives everything downstream), (3) NRR (&gt;120% compounds every later gate), (4) gross-margin ramp (multiple defence), (5) hiring pace discipline (burn multiple).</t>
  </si>
  <si>
    <t xml:space="preserve">Sources &amp; caveats</t>
  </si>
  <si>
    <t xml:space="preserve">Every external number, where it came from, and how much to trust it.</t>
  </si>
  <si>
    <t xml:space="preserve">Seed valuations 2026</t>
  </si>
  <si>
    <t xml:space="preserve">Carta State of Private Markets Q1 2026: seed median ~$24M post, AI-skewed; AI seed premium ~42% over non-AI. CRBRL base seed $27M post = slight premium, earned by GA product.</t>
  </si>
  <si>
    <t xml:space="preserve">Series A benchmarks 2026</t>
  </si>
  <si>
    <t xml:space="preserve">Median A round ~$12M at $40-55M pre (Carta/PitchBook aggregates); AI Series A bar ~$3-3.5M ARR, NRR 120%, GM 60%+. CRBRL base A ($20M at $100M post, ~$4M ARR) is an AI-infra-premium round — must be earned with the Series A gate metrics.</t>
  </si>
  <si>
    <t xml:space="preserve">AI-infra ARR multiples</t>
  </si>
  <si>
    <t xml:space="preserve">Private AI-infra rounds 2025-26 trade 20-50x forward ARR; 25-35x is the defensible core band; conventional SaaS 12-18x. Multiple compression is the plan's largest exogenous risk (see Sensitivity).</t>
  </si>
  <si>
    <t xml:space="preserve">Vector-DB comparables</t>
  </si>
  <si>
    <t xml:space="preserve">Pinecone: $100M Series B at $750M (Apr 2023, ~$7M est. ARR) — no C as of mid-2026. Weaviate: $50M B at $200M; flat B→C. Qdrant: $7.5M seed / $28M A / ~$50M B (Mar 2026). Chroma: $18M seed at $75M (OSS-traction outlier). LanceDB: $11M seed, $30M A (Jun 2025). Turbopuffer: seed led by Thrive (Dec 2025), ~$100M ARR reported by Sacra mid-2026 — the breakout the optimistic case is shaped on. Marqo (AU): $5.2M seed (Blackbird) then US flip — the AU-hybrid template.</t>
  </si>
  <si>
    <t xml:space="preserve">Growth envelopes</t>
  </si>
  <si>
    <t xml:space="preserve">ICONIQ growth benchmarks: top-quartile $1-10M ARR ~515% yoy; $25-100M ~93%. Base ladder (10x → 4x → 2.5x → 2.0x → 1.7x) sits inside these envelopes.</t>
  </si>
  <si>
    <t xml:space="preserve">Efficiency benchmarks</t>
  </si>
  <si>
    <t xml:space="preserve">Burn multiple: &lt;1.5 great, ~2.0 median (Sacks/Bessemer). Rule of 40: only ~11-30% of private SaaS clear it; clearing it carries a measured valuation premium.</t>
  </si>
  <si>
    <t xml:space="preserve">RDTI / ESIC (Australia)</t>
  </si>
  <si>
    <t xml:space="preserve">43.5% refundable R&amp;D offset under A$20M turnover; ESIC 20% offset + CGT exemption for qualifying angels. Current law 2025-26; announced changes from 2027-28 not yet legislated. Figures here are planning estimates — NOT tax advice; structure the Delaware flip with AU + US counsel to protect eligibility.</t>
  </si>
  <si>
    <t xml:space="preserve">Internal sources</t>
  </si>
  <si>
    <t xml:space="preserve">CRBRL_Capital_Raising_Plan (15 Jun 2026); CRBRL_Capital_Raise_Benchmark (23 Jun 2026); CRBRL_Financial_Model_v2; CRBRL_Path_to_Series_B_KPI_Model; CRBRL pricing model v2 (published rate card: $1.50/GB-mo served, $60/M vectors-mo, $25/M queries, $500 base — ACV anchors $16k-$2.2M by workload); Nexus forecast model (Jul 2026).</t>
  </si>
  <si>
    <t xml:space="preserve">Honesty box</t>
  </si>
  <si>
    <t xml:space="preserve">1) Every ARR figure ahead of signed contracts is a scenario, not a forecast. 2) The $1B mark is a top-decile outcome — the conservative ladder is the number to run the company on. 3) Pinecone proves a headline multiple on thin ARR does not hold. 4) Pricing is still in design-partner validation — ACV assumptions inherit that uncertainty. 5) The model assumes production-parity benchmarks vs incumbents get published and hold; if they don't, every wave slows. 6) Intra-year cash troughs are sharper than annual columns show — watch the floor flags.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</si>
</sst>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;\(#,##0.0\);\-"/>
    <numFmt numFmtId="166" formatCode="#,##0;\(#,##0\);\-"/>
    <numFmt numFmtId="167" formatCode="0.0%;\(0.0%\);\-"/>
    <numFmt numFmtId="168" formatCode="0.0\x"/>
    <numFmt numFmtId="169" formatCode="0%;\(0%\);\-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0"/>
      <color rgb="FFECE9DA"/>
      <name val="Arial"/>
      <family val="0"/>
      <charset val="1"/>
    </font>
    <font>
      <sz val="11"/>
      <color rgb="FF7C8090"/>
      <name val="Courier New"/>
      <family val="0"/>
      <charset val="1"/>
    </font>
    <font>
      <b val="true"/>
      <sz val="16"/>
      <color rgb="FF13CF9E"/>
      <name val="Arial"/>
      <family val="0"/>
      <charset val="1"/>
    </font>
    <font>
      <sz val="11"/>
      <color rgb="FF7C8090"/>
      <name val="Arial"/>
      <family val="0"/>
      <charset val="1"/>
    </font>
    <font>
      <sz val="10"/>
      <color rgb="FF7C8090"/>
      <name val="Arial"/>
      <family val="0"/>
      <charset val="1"/>
    </font>
    <font>
      <b val="true"/>
      <sz val="11"/>
      <color rgb="FF0FAA82"/>
      <name val="Arial"/>
      <family val="0"/>
      <charset val="1"/>
    </font>
    <font>
      <sz val="10"/>
      <color rgb="FFECE9DA"/>
      <name val="Arial"/>
      <family val="0"/>
      <charset val="1"/>
    </font>
    <font>
      <b val="true"/>
      <sz val="10"/>
      <color rgb="FF13CF9E"/>
      <name val="Arial"/>
      <family val="0"/>
      <charset val="1"/>
    </font>
    <font>
      <i val="true"/>
      <sz val="9"/>
      <color rgb="FF7C8090"/>
      <name val="Arial"/>
      <family val="0"/>
      <charset val="1"/>
    </font>
    <font>
      <i val="true"/>
      <sz val="11"/>
      <color rgb="FFECE9DA"/>
      <name val="Arial"/>
      <family val="0"/>
      <charset val="1"/>
    </font>
    <font>
      <sz val="9"/>
      <color rgb="FF7C8090"/>
      <name val="Arial"/>
      <family val="0"/>
      <charset val="1"/>
    </font>
    <font>
      <b val="true"/>
      <sz val="16"/>
      <color rgb="FF06090A"/>
      <name val="Arial"/>
      <family val="0"/>
      <charset val="1"/>
    </font>
    <font>
      <i val="true"/>
      <sz val="10"/>
      <color rgb="FF7C8090"/>
      <name val="Arial"/>
      <family val="0"/>
      <charset val="1"/>
    </font>
    <font>
      <b val="true"/>
      <sz val="10"/>
      <color rgb="FF06090A"/>
      <name val="Arial"/>
      <family val="0"/>
      <charset val="1"/>
    </font>
    <font>
      <sz val="10"/>
      <color rgb="FF06090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C8466"/>
      <name val="Arial"/>
      <family val="0"/>
      <charset val="1"/>
    </font>
    <font>
      <sz val="10"/>
      <color rgb="FF0C8466"/>
      <name val="Arial"/>
      <family val="0"/>
      <charset val="1"/>
    </font>
    <font>
      <b val="true"/>
      <sz val="9"/>
      <color rgb="FFB0002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6090A"/>
        <bgColor rgb="FF000000"/>
      </patternFill>
    </fill>
    <fill>
      <patternFill patternType="solid">
        <fgColor rgb="FF0FAA82"/>
        <bgColor rgb="FF13CF9E"/>
      </patternFill>
    </fill>
    <fill>
      <patternFill patternType="solid">
        <fgColor rgb="FFECE9D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DC7"/>
      </left>
      <right style="thin">
        <color rgb="FFC9CDC7"/>
      </right>
      <top style="thin">
        <color rgb="FFC9CDC7"/>
      </top>
      <bottom style="thin">
        <color rgb="FFC9CD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C8466"/>
      <rgbColor rgb="FFC9CDC7"/>
      <rgbColor rgb="FF7C8090"/>
      <rgbColor rgb="FF9999FF"/>
      <rgbColor rgb="FF993366"/>
      <rgbColor rgb="FFECE9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3CF9E"/>
      <rgbColor rgb="FF99CC00"/>
      <rgbColor rgb="FFFFCC00"/>
      <rgbColor rgb="FFFF9900"/>
      <rgbColor rgb="FFFF6600"/>
      <rgbColor rgb="FF666699"/>
      <rgbColor rgb="FF969696"/>
      <rgbColor rgb="FF003366"/>
      <rgbColor rgb="FF0FAA82"/>
      <rgbColor rgb="FF0609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2"/>
    <col collapsed="false" customWidth="true" hidden="false" outlineLevel="0" max="5" min="3" style="0" width="22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48.05" hidden="false" customHeight="false" outlineLevel="0" collapsed="false">
      <c r="A4" s="1"/>
      <c r="B4" s="2" t="s">
        <v>0</v>
      </c>
      <c r="C4" s="1"/>
      <c r="D4" s="1"/>
      <c r="E4" s="1"/>
      <c r="F4" s="1"/>
      <c r="G4" s="1"/>
    </row>
    <row r="5" customFormat="false" ht="15" hidden="false" customHeight="false" outlineLevel="0" collapsed="false">
      <c r="A5" s="1"/>
      <c r="B5" s="3" t="s">
        <v>1</v>
      </c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</row>
    <row r="8" customFormat="false" ht="19.7" hidden="false" customHeight="false" outlineLevel="0" collapsed="false">
      <c r="A8" s="1"/>
      <c r="B8" s="4" t="s">
        <v>2</v>
      </c>
      <c r="C8" s="1"/>
      <c r="D8" s="1"/>
      <c r="E8" s="1"/>
      <c r="F8" s="1"/>
      <c r="G8" s="1"/>
    </row>
    <row r="9" customFormat="false" ht="15" hidden="false" customHeight="false" outlineLevel="0" collapsed="false">
      <c r="A9" s="1"/>
      <c r="B9" s="5" t="s">
        <v>3</v>
      </c>
      <c r="C9" s="1"/>
      <c r="D9" s="1"/>
      <c r="E9" s="1"/>
      <c r="F9" s="1"/>
      <c r="G9" s="1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</row>
    <row r="11" customFormat="false" ht="15" hidden="false" customHeight="false" outlineLevel="0" collapsed="false">
      <c r="A11" s="1"/>
      <c r="B11" s="6" t="s">
        <v>4</v>
      </c>
      <c r="C11" s="1"/>
      <c r="D11" s="1"/>
      <c r="E11" s="1"/>
      <c r="F11" s="1"/>
      <c r="G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</row>
    <row r="13" customFormat="false" ht="15" hidden="false" customHeight="false" outlineLevel="0" collapsed="false">
      <c r="A13" s="1"/>
      <c r="B13" s="7" t="s">
        <v>5</v>
      </c>
      <c r="C13" s="1"/>
      <c r="D13" s="1"/>
      <c r="E13" s="1"/>
      <c r="F13" s="1"/>
      <c r="G13" s="1"/>
    </row>
    <row r="14" customFormat="false" ht="15" hidden="false" customHeight="false" outlineLevel="0" collapsed="false">
      <c r="A14" s="1"/>
      <c r="B14" s="8" t="s">
        <v>6</v>
      </c>
      <c r="C14" s="9" t="n">
        <f aca="false">'ARR Forecast'!G13/1000</f>
        <v>34</v>
      </c>
      <c r="D14" s="10" t="s">
        <v>7</v>
      </c>
      <c r="E14" s="1"/>
      <c r="F14" s="1"/>
      <c r="G14" s="1"/>
    </row>
    <row r="15" customFormat="false" ht="15" hidden="false" customHeight="false" outlineLevel="0" collapsed="false">
      <c r="A15" s="1"/>
      <c r="B15" s="8" t="s">
        <v>8</v>
      </c>
      <c r="C15" s="11" t="n">
        <v>1000</v>
      </c>
      <c r="D15" s="10" t="s">
        <v>9</v>
      </c>
      <c r="E15" s="1"/>
      <c r="F15" s="1"/>
      <c r="G15" s="1"/>
    </row>
    <row r="16" customFormat="false" ht="15" hidden="false" customHeight="false" outlineLevel="0" collapsed="false">
      <c r="A16" s="1"/>
      <c r="B16" s="8" t="s">
        <v>10</v>
      </c>
      <c r="C16" s="12" t="s">
        <v>11</v>
      </c>
      <c r="D16" s="10" t="s">
        <v>12</v>
      </c>
      <c r="E16" s="1"/>
      <c r="F16" s="1"/>
      <c r="G16" s="1"/>
    </row>
    <row r="17" customFormat="false" ht="15" hidden="false" customHeight="false" outlineLevel="0" collapsed="false">
      <c r="A17" s="1"/>
      <c r="B17" s="8" t="s">
        <v>13</v>
      </c>
      <c r="C17" s="9" t="n">
        <f aca="false">('Raise Ladder'!C7+'Raise Ladder'!C8+'Raise Ladder'!C9)</f>
        <v>105</v>
      </c>
      <c r="D17" s="10" t="s">
        <v>14</v>
      </c>
      <c r="E17" s="1"/>
      <c r="F17" s="1"/>
      <c r="G17" s="1"/>
    </row>
    <row r="18" customFormat="false" ht="15" hidden="false" customHeight="false" outlineLevel="0" collapsed="false">
      <c r="A18" s="1"/>
      <c r="B18" s="8" t="s">
        <v>15</v>
      </c>
      <c r="C18" s="13" t="n">
        <f aca="false">'Raise Ladder'!D30</f>
        <v>0.500870740740741</v>
      </c>
      <c r="D18" s="10" t="s">
        <v>16</v>
      </c>
      <c r="E18" s="1"/>
      <c r="F18" s="1"/>
      <c r="G18" s="1"/>
    </row>
    <row r="19" customFormat="false" ht="15" hidden="false" customHeight="false" outlineLevel="0" collapsed="false">
      <c r="A19" s="1"/>
      <c r="B19" s="8" t="s">
        <v>17</v>
      </c>
      <c r="C19" s="9" t="n">
        <f aca="false">SUM('Budget - OpEx'!B23:G23)/1000</f>
        <v>72.6122169432576</v>
      </c>
      <c r="D19" s="10" t="s">
        <v>18</v>
      </c>
      <c r="E19" s="1"/>
      <c r="F19" s="1"/>
      <c r="G19" s="1"/>
    </row>
    <row r="20" customFormat="false" ht="15" hidden="false" customHeight="false" outlineLevel="0" collapsed="false">
      <c r="A20" s="1"/>
      <c r="B20" s="8" t="s">
        <v>19</v>
      </c>
      <c r="C20" s="9" t="n">
        <f aca="false">SUM('Budget - CapEx'!B11:G11)/1000</f>
        <v>2.2485</v>
      </c>
      <c r="D20" s="10" t="s">
        <v>20</v>
      </c>
      <c r="E20" s="1"/>
      <c r="F20" s="1"/>
      <c r="G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</row>
    <row r="22" customFormat="false" ht="15" hidden="false" customHeight="false" outlineLevel="0" collapsed="false">
      <c r="A22" s="1"/>
      <c r="B22" s="14" t="s">
        <v>21</v>
      </c>
      <c r="C22" s="1"/>
      <c r="D22" s="1"/>
      <c r="E22" s="1"/>
      <c r="F22" s="1"/>
      <c r="G22" s="1"/>
    </row>
    <row r="23" customFormat="false" ht="15" hidden="false" customHeight="false" outlineLevel="0" collapsed="false">
      <c r="A23" s="1"/>
      <c r="B23" s="15" t="s">
        <v>22</v>
      </c>
      <c r="C23" s="1"/>
      <c r="D23" s="1"/>
      <c r="E23" s="1"/>
      <c r="F23" s="1"/>
      <c r="G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6" t="s">
        <v>23</v>
      </c>
    </row>
    <row r="2" customFormat="false" ht="15" hidden="false" customHeight="false" outlineLevel="0" collapsed="false">
      <c r="A2" s="17" t="s">
        <v>24</v>
      </c>
    </row>
    <row r="3" customFormat="false" ht="15" hidden="false" customHeight="false" outlineLevel="0" collapsed="false">
      <c r="A3" s="18" t="s">
        <v>25</v>
      </c>
    </row>
    <row r="5" customFormat="false" ht="30" hidden="false" customHeight="true" outlineLevel="0" collapsed="false">
      <c r="A5" s="19" t="s">
        <v>26</v>
      </c>
      <c r="B5" s="20" t="s">
        <v>27</v>
      </c>
    </row>
    <row r="6" customFormat="false" ht="30" hidden="false" customHeight="true" outlineLevel="0" collapsed="false">
      <c r="A6" s="19" t="s">
        <v>28</v>
      </c>
      <c r="B6" s="20" t="s">
        <v>29</v>
      </c>
    </row>
    <row r="7" customFormat="false" ht="30" hidden="false" customHeight="true" outlineLevel="0" collapsed="false">
      <c r="A7" s="19" t="s">
        <v>30</v>
      </c>
      <c r="B7" s="20" t="s">
        <v>31</v>
      </c>
    </row>
    <row r="8" customFormat="false" ht="30" hidden="false" customHeight="true" outlineLevel="0" collapsed="false">
      <c r="A8" s="19" t="s">
        <v>32</v>
      </c>
      <c r="B8" s="20" t="s">
        <v>33</v>
      </c>
    </row>
    <row r="9" customFormat="false" ht="30" hidden="false" customHeight="true" outlineLevel="0" collapsed="false">
      <c r="A9" s="19" t="s">
        <v>34</v>
      </c>
      <c r="B9" s="20" t="s">
        <v>35</v>
      </c>
    </row>
    <row r="10" customFormat="false" ht="30" hidden="false" customHeight="true" outlineLevel="0" collapsed="false">
      <c r="A10" s="19" t="s">
        <v>36</v>
      </c>
      <c r="B10" s="20" t="s">
        <v>37</v>
      </c>
    </row>
    <row r="11" customFormat="false" ht="30" hidden="false" customHeight="true" outlineLevel="0" collapsed="false">
      <c r="A11" s="19" t="s">
        <v>38</v>
      </c>
      <c r="B11" s="20" t="s">
        <v>39</v>
      </c>
    </row>
    <row r="12" customFormat="false" ht="30" hidden="false" customHeight="true" outlineLevel="0" collapsed="false">
      <c r="A12" s="19" t="s">
        <v>40</v>
      </c>
      <c r="B12" s="20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2"/>
    <col collapsed="false" customWidth="true" hidden="false" outlineLevel="0" max="8" min="8" style="0" width="72"/>
  </cols>
  <sheetData>
    <row r="1" customFormat="false" ht="19.7" hidden="false" customHeight="false" outlineLevel="0" collapsed="false">
      <c r="A1" s="16" t="s">
        <v>42</v>
      </c>
    </row>
    <row r="2" customFormat="false" ht="15" hidden="false" customHeight="false" outlineLevel="0" collapsed="false">
      <c r="A2" s="17" t="s">
        <v>43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44</v>
      </c>
      <c r="B5" s="22"/>
      <c r="C5" s="22"/>
      <c r="D5" s="22"/>
      <c r="E5" s="22"/>
      <c r="F5" s="22"/>
      <c r="G5" s="22"/>
    </row>
    <row r="6" customFormat="false" ht="15" hidden="false" customHeight="false" outlineLevel="0" collapsed="false">
      <c r="A6" s="23" t="s">
        <v>45</v>
      </c>
      <c r="B6" s="24" t="n">
        <v>190</v>
      </c>
      <c r="C6" s="25" t="n">
        <f aca="false">B6*(1+$B$7)</f>
        <v>197.6</v>
      </c>
      <c r="D6" s="25" t="n">
        <f aca="false">C6*(1+$B$7)</f>
        <v>205.504</v>
      </c>
      <c r="E6" s="25" t="n">
        <f aca="false">D6*(1+$B$7)</f>
        <v>213.72416</v>
      </c>
      <c r="F6" s="25" t="n">
        <f aca="false">E6*(1+$B$7)</f>
        <v>222.2731264</v>
      </c>
      <c r="G6" s="25" t="n">
        <f aca="false">F6*(1+$B$7)</f>
        <v>231.164051456</v>
      </c>
      <c r="H6" s="18" t="s">
        <v>46</v>
      </c>
    </row>
    <row r="7" customFormat="false" ht="15" hidden="false" customHeight="false" outlineLevel="0" collapsed="false">
      <c r="A7" s="23" t="s">
        <v>47</v>
      </c>
      <c r="B7" s="26" t="n">
        <v>0.04</v>
      </c>
      <c r="C7" s="27"/>
      <c r="D7" s="27"/>
      <c r="E7" s="27"/>
      <c r="F7" s="27"/>
      <c r="G7" s="27"/>
      <c r="H7" s="18" t="s">
        <v>48</v>
      </c>
    </row>
    <row r="8" customFormat="false" ht="15" hidden="false" customHeight="false" outlineLevel="0" collapsed="false">
      <c r="A8" s="23" t="s">
        <v>49</v>
      </c>
      <c r="B8" s="26" t="n">
        <v>0.08</v>
      </c>
      <c r="C8" s="26"/>
      <c r="D8" s="26"/>
      <c r="E8" s="26"/>
      <c r="F8" s="26"/>
      <c r="G8" s="26"/>
      <c r="H8" s="18" t="s">
        <v>50</v>
      </c>
    </row>
    <row r="9" customFormat="false" ht="15" hidden="false" customHeight="false" outlineLevel="0" collapsed="false">
      <c r="A9" s="23" t="s">
        <v>51</v>
      </c>
      <c r="B9" s="24" t="n">
        <v>1500</v>
      </c>
      <c r="C9" s="24"/>
      <c r="D9" s="24"/>
      <c r="E9" s="24"/>
      <c r="F9" s="24"/>
      <c r="G9" s="24"/>
      <c r="H9" s="18" t="s">
        <v>52</v>
      </c>
    </row>
    <row r="10" customFormat="false" ht="15" hidden="false" customHeight="false" outlineLevel="0" collapsed="false">
      <c r="A10" s="23" t="s">
        <v>53</v>
      </c>
      <c r="B10" s="24" t="n">
        <v>150</v>
      </c>
      <c r="C10" s="24"/>
      <c r="D10" s="24"/>
      <c r="E10" s="24"/>
      <c r="F10" s="24"/>
      <c r="G10" s="24"/>
      <c r="H10" s="18" t="s">
        <v>54</v>
      </c>
    </row>
    <row r="12" customFormat="false" ht="15" hidden="false" customHeight="false" outlineLevel="0" collapsed="false">
      <c r="A12" s="21" t="s">
        <v>55</v>
      </c>
      <c r="B12" s="22"/>
      <c r="C12" s="22"/>
      <c r="D12" s="22"/>
      <c r="E12" s="22"/>
      <c r="F12" s="22"/>
      <c r="G12" s="22"/>
    </row>
    <row r="13" customFormat="false" ht="15" hidden="false" customHeight="false" outlineLevel="0" collapsed="false">
      <c r="A13" s="23" t="s">
        <v>56</v>
      </c>
      <c r="B13" s="26" t="n">
        <v>0.55</v>
      </c>
      <c r="C13" s="26" t="n">
        <v>0.58</v>
      </c>
      <c r="D13" s="26" t="n">
        <v>0.62</v>
      </c>
      <c r="E13" s="26" t="n">
        <v>0.66</v>
      </c>
      <c r="F13" s="26" t="n">
        <v>0.69</v>
      </c>
      <c r="G13" s="26" t="n">
        <v>0.72</v>
      </c>
    </row>
    <row r="14" customFormat="false" ht="15" hidden="false" customHeight="false" outlineLevel="0" collapsed="false">
      <c r="A14" s="23" t="s">
        <v>57</v>
      </c>
      <c r="B14" s="26" t="n">
        <v>0.6</v>
      </c>
      <c r="C14" s="26" t="n">
        <v>0.64</v>
      </c>
      <c r="D14" s="26" t="n">
        <v>0.68</v>
      </c>
      <c r="E14" s="26" t="n">
        <v>0.72</v>
      </c>
      <c r="F14" s="26" t="n">
        <v>0.75</v>
      </c>
      <c r="G14" s="26" t="n">
        <v>0.78</v>
      </c>
      <c r="H14" s="18" t="s">
        <v>58</v>
      </c>
    </row>
    <row r="15" customFormat="false" ht="15" hidden="false" customHeight="false" outlineLevel="0" collapsed="false">
      <c r="A15" s="23" t="s">
        <v>59</v>
      </c>
      <c r="B15" s="26" t="n">
        <v>0.63</v>
      </c>
      <c r="C15" s="26" t="n">
        <v>0.67</v>
      </c>
      <c r="D15" s="26" t="n">
        <v>0.71</v>
      </c>
      <c r="E15" s="26" t="n">
        <v>0.75</v>
      </c>
      <c r="F15" s="26" t="n">
        <v>0.78</v>
      </c>
      <c r="G15" s="26" t="n">
        <v>0.8</v>
      </c>
    </row>
    <row r="17" customFormat="false" ht="15" hidden="false" customHeight="false" outlineLevel="0" collapsed="false">
      <c r="A17" s="21" t="s">
        <v>60</v>
      </c>
      <c r="B17" s="22"/>
      <c r="C17" s="22"/>
      <c r="D17" s="22"/>
      <c r="E17" s="22"/>
      <c r="F17" s="22"/>
      <c r="G17" s="22"/>
    </row>
    <row r="18" customFormat="false" ht="15" hidden="false" customHeight="false" outlineLevel="0" collapsed="false">
      <c r="A18" s="23" t="s">
        <v>56</v>
      </c>
      <c r="B18" s="24" t="n">
        <v>0</v>
      </c>
      <c r="C18" s="24" t="n">
        <v>400</v>
      </c>
      <c r="D18" s="24" t="n">
        <v>600</v>
      </c>
      <c r="E18" s="24" t="n">
        <v>700</v>
      </c>
      <c r="F18" s="24" t="n">
        <v>0</v>
      </c>
      <c r="G18" s="24" t="n">
        <v>0</v>
      </c>
    </row>
    <row r="19" customFormat="false" ht="15" hidden="false" customHeight="false" outlineLevel="0" collapsed="false">
      <c r="A19" s="23" t="s">
        <v>57</v>
      </c>
      <c r="B19" s="24" t="n">
        <v>0</v>
      </c>
      <c r="C19" s="24" t="n">
        <v>600</v>
      </c>
      <c r="D19" s="24" t="n">
        <v>800</v>
      </c>
      <c r="E19" s="24" t="n">
        <v>900</v>
      </c>
      <c r="F19" s="24" t="n">
        <v>0</v>
      </c>
      <c r="G19" s="24" t="n">
        <v>0</v>
      </c>
      <c r="H19" s="18" t="s">
        <v>61</v>
      </c>
    </row>
    <row r="20" customFormat="false" ht="15" hidden="false" customHeight="false" outlineLevel="0" collapsed="false">
      <c r="A20" s="23" t="s">
        <v>59</v>
      </c>
      <c r="B20" s="24" t="n">
        <v>0</v>
      </c>
      <c r="C20" s="24" t="n">
        <v>700</v>
      </c>
      <c r="D20" s="24" t="n">
        <v>900</v>
      </c>
      <c r="E20" s="24" t="n">
        <v>0</v>
      </c>
      <c r="F20" s="24" t="n">
        <v>0</v>
      </c>
      <c r="G20" s="24" t="n">
        <v>0</v>
      </c>
      <c r="H20" s="18" t="s">
        <v>62</v>
      </c>
    </row>
    <row r="22" customFormat="false" ht="15" hidden="false" customHeight="false" outlineLevel="0" collapsed="false">
      <c r="A22" s="21" t="s">
        <v>63</v>
      </c>
      <c r="B22" s="22"/>
      <c r="C22" s="22"/>
      <c r="D22" s="22"/>
      <c r="E22" s="22"/>
      <c r="F22" s="22"/>
      <c r="G22" s="22"/>
    </row>
    <row r="23" customFormat="false" ht="15" hidden="false" customHeight="false" outlineLevel="0" collapsed="false">
      <c r="A23" s="23" t="s">
        <v>64</v>
      </c>
      <c r="B23" s="28" t="n">
        <v>25</v>
      </c>
      <c r="C23" s="28" t="n">
        <v>30</v>
      </c>
      <c r="D23" s="28" t="n">
        <v>35</v>
      </c>
      <c r="E23" s="29"/>
      <c r="F23" s="29"/>
      <c r="G23" s="29"/>
      <c r="H23" s="18" t="s">
        <v>65</v>
      </c>
    </row>
    <row r="25" customFormat="false" ht="15" hidden="false" customHeight="false" outlineLevel="0" collapsed="false">
      <c r="A25" s="21" t="s">
        <v>66</v>
      </c>
      <c r="B25" s="22"/>
      <c r="C25" s="22"/>
      <c r="D25" s="22"/>
      <c r="E25" s="22"/>
      <c r="F25" s="22"/>
      <c r="G25" s="22"/>
    </row>
    <row r="26" customFormat="false" ht="15" hidden="false" customHeight="false" outlineLevel="0" collapsed="false">
      <c r="A26" s="23" t="s">
        <v>67</v>
      </c>
      <c r="B26" s="30" t="n">
        <v>14.4</v>
      </c>
      <c r="C26" s="30"/>
      <c r="D26" s="30"/>
      <c r="E26" s="30"/>
      <c r="F26" s="30"/>
      <c r="G26" s="30"/>
      <c r="H26" s="18" t="s">
        <v>68</v>
      </c>
    </row>
    <row r="27" customFormat="false" ht="15" hidden="false" customHeight="false" outlineLevel="0" collapsed="false">
      <c r="A27" s="23" t="s">
        <v>69</v>
      </c>
      <c r="B27" s="30" t="n">
        <v>9</v>
      </c>
      <c r="C27" s="30"/>
      <c r="D27" s="30"/>
      <c r="E27" s="30"/>
      <c r="F27" s="30"/>
      <c r="G27" s="30"/>
      <c r="H27" s="18" t="s">
        <v>70</v>
      </c>
    </row>
    <row r="28" customFormat="false" ht="15" hidden="false" customHeight="false" outlineLevel="0" collapsed="false">
      <c r="A28" s="23" t="s">
        <v>71</v>
      </c>
      <c r="B28" s="30" t="n">
        <v>5</v>
      </c>
      <c r="C28" s="30"/>
      <c r="D28" s="30"/>
      <c r="E28" s="30"/>
      <c r="F28" s="30"/>
      <c r="G28" s="30"/>
    </row>
    <row r="29" customFormat="false" ht="15" hidden="false" customHeight="false" outlineLevel="0" collapsed="false">
      <c r="A29" s="23" t="s">
        <v>72</v>
      </c>
      <c r="B29" s="30" t="n">
        <v>1</v>
      </c>
      <c r="C29" s="30"/>
      <c r="D29" s="30"/>
      <c r="E29" s="30"/>
      <c r="F29" s="30"/>
      <c r="G29" s="30"/>
    </row>
    <row r="31" customFormat="false" ht="15" hidden="false" customHeight="false" outlineLevel="0" collapsed="false">
      <c r="A31" s="18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7" min="2" style="0" width="15"/>
    <col collapsed="false" customWidth="true" hidden="false" outlineLevel="0" max="8" min="8" style="0" width="84"/>
  </cols>
  <sheetData>
    <row r="1" customFormat="false" ht="19.7" hidden="false" customHeight="false" outlineLevel="0" collapsed="false">
      <c r="A1" s="16" t="s">
        <v>74</v>
      </c>
    </row>
    <row r="2" customFormat="false" ht="15" hidden="false" customHeight="false" outlineLevel="0" collapsed="false">
      <c r="A2" s="17" t="s">
        <v>75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76</v>
      </c>
      <c r="B5" s="22"/>
      <c r="C5" s="22"/>
      <c r="D5" s="22"/>
      <c r="E5" s="22"/>
      <c r="F5" s="22"/>
      <c r="G5" s="22"/>
      <c r="H5" s="22"/>
    </row>
    <row r="6" customFormat="false" ht="15" hidden="false" customHeight="false" outlineLevel="0" collapsed="false">
      <c r="A6" s="31" t="s">
        <v>77</v>
      </c>
      <c r="B6" s="31" t="s">
        <v>78</v>
      </c>
      <c r="C6" s="31" t="s">
        <v>79</v>
      </c>
      <c r="D6" s="31" t="s">
        <v>80</v>
      </c>
      <c r="E6" s="31" t="s">
        <v>81</v>
      </c>
      <c r="F6" s="31" t="s">
        <v>82</v>
      </c>
      <c r="G6" s="31" t="s">
        <v>83</v>
      </c>
    </row>
    <row r="7" customFormat="false" ht="15" hidden="false" customHeight="false" outlineLevel="0" collapsed="false">
      <c r="A7" s="23" t="s">
        <v>84</v>
      </c>
      <c r="B7" s="32" t="s">
        <v>85</v>
      </c>
      <c r="C7" s="30" t="n">
        <v>5</v>
      </c>
      <c r="D7" s="30" t="n">
        <v>27</v>
      </c>
      <c r="E7" s="33" t="n">
        <f aca="false">D7-C7</f>
        <v>22</v>
      </c>
      <c r="F7" s="27" t="n">
        <f aca="false">IF(D7=0,0,C7/D7)</f>
        <v>0.185185185185185</v>
      </c>
      <c r="G7" s="34" t="n">
        <v>0.1</v>
      </c>
    </row>
    <row r="8" customFormat="false" ht="15" hidden="false" customHeight="false" outlineLevel="0" collapsed="false">
      <c r="A8" s="23" t="s">
        <v>86</v>
      </c>
      <c r="B8" s="32" t="s">
        <v>87</v>
      </c>
      <c r="C8" s="30" t="n">
        <v>20</v>
      </c>
      <c r="D8" s="30" t="n">
        <v>100</v>
      </c>
      <c r="E8" s="33" t="n">
        <f aca="false">D8-C8</f>
        <v>80</v>
      </c>
      <c r="F8" s="27" t="n">
        <f aca="false">IF(D8=0,0,C8/D8)</f>
        <v>0.2</v>
      </c>
      <c r="G8" s="34" t="n">
        <v>0.03</v>
      </c>
    </row>
    <row r="9" customFormat="false" ht="15" hidden="false" customHeight="false" outlineLevel="0" collapsed="false">
      <c r="A9" s="23" t="s">
        <v>88</v>
      </c>
      <c r="B9" s="32" t="s">
        <v>89</v>
      </c>
      <c r="C9" s="30" t="n">
        <v>80</v>
      </c>
      <c r="D9" s="30" t="n">
        <v>1000</v>
      </c>
      <c r="E9" s="33" t="n">
        <f aca="false">D9-C9</f>
        <v>920</v>
      </c>
      <c r="F9" s="27" t="n">
        <f aca="false">IF(D9=0,0,C9/D9)</f>
        <v>0.08</v>
      </c>
      <c r="G9" s="34" t="n">
        <v>0.01</v>
      </c>
    </row>
    <row r="10" customFormat="false" ht="15" hidden="false" customHeight="false" outlineLevel="0" collapsed="false">
      <c r="A10" s="18" t="s">
        <v>90</v>
      </c>
    </row>
    <row r="12" customFormat="false" ht="15" hidden="false" customHeight="false" outlineLevel="0" collapsed="false">
      <c r="A12" s="21" t="s">
        <v>91</v>
      </c>
      <c r="B12" s="22"/>
      <c r="C12" s="22"/>
      <c r="D12" s="22"/>
      <c r="E12" s="22"/>
      <c r="F12" s="22"/>
      <c r="G12" s="22"/>
      <c r="H12" s="22"/>
    </row>
    <row r="13" customFormat="false" ht="15" hidden="false" customHeight="false" outlineLevel="0" collapsed="false">
      <c r="A13" s="31" t="s">
        <v>77</v>
      </c>
      <c r="B13" s="31" t="s">
        <v>78</v>
      </c>
      <c r="C13" s="31" t="s">
        <v>79</v>
      </c>
      <c r="D13" s="31" t="s">
        <v>80</v>
      </c>
      <c r="E13" s="31" t="s">
        <v>81</v>
      </c>
      <c r="F13" s="31" t="s">
        <v>82</v>
      </c>
      <c r="G13" s="31" t="s">
        <v>83</v>
      </c>
    </row>
    <row r="14" customFormat="false" ht="15" hidden="false" customHeight="false" outlineLevel="0" collapsed="false">
      <c r="A14" s="23" t="s">
        <v>92</v>
      </c>
      <c r="B14" s="32" t="s">
        <v>85</v>
      </c>
      <c r="C14" s="30" t="n">
        <v>0.75</v>
      </c>
      <c r="D14" s="30" t="n">
        <v>8</v>
      </c>
      <c r="E14" s="33" t="n">
        <f aca="false">D14-C14</f>
        <v>7.25</v>
      </c>
      <c r="F14" s="27" t="n">
        <f aca="false">IF(D14=0,0,C14/D14)</f>
        <v>0.09375</v>
      </c>
      <c r="G14" s="34" t="n">
        <v>0</v>
      </c>
    </row>
    <row r="15" customFormat="false" ht="15" hidden="false" customHeight="false" outlineLevel="0" collapsed="false">
      <c r="A15" s="23" t="s">
        <v>93</v>
      </c>
      <c r="B15" s="32" t="s">
        <v>94</v>
      </c>
      <c r="C15" s="30" t="n">
        <v>4</v>
      </c>
      <c r="D15" s="30" t="n">
        <v>24</v>
      </c>
      <c r="E15" s="33" t="n">
        <f aca="false">D15-C15</f>
        <v>20</v>
      </c>
      <c r="F15" s="27" t="n">
        <f aca="false">IF(D15=0,0,C15/D15)</f>
        <v>0.166666666666667</v>
      </c>
      <c r="G15" s="34" t="n">
        <v>0.1</v>
      </c>
    </row>
    <row r="16" customFormat="false" ht="15" hidden="false" customHeight="false" outlineLevel="0" collapsed="false">
      <c r="A16" s="23" t="s">
        <v>86</v>
      </c>
      <c r="B16" s="32" t="s">
        <v>95</v>
      </c>
      <c r="C16" s="30" t="n">
        <v>15</v>
      </c>
      <c r="D16" s="30" t="n">
        <v>75</v>
      </c>
      <c r="E16" s="33" t="n">
        <f aca="false">D16-C16</f>
        <v>60</v>
      </c>
      <c r="F16" s="27" t="n">
        <f aca="false">IF(D16=0,0,C16/D16)</f>
        <v>0.2</v>
      </c>
      <c r="G16" s="34" t="n">
        <v>0.03</v>
      </c>
    </row>
    <row r="17" customFormat="false" ht="15" hidden="false" customHeight="false" outlineLevel="0" collapsed="false">
      <c r="A17" s="23" t="s">
        <v>96</v>
      </c>
      <c r="B17" s="32" t="s">
        <v>97</v>
      </c>
      <c r="C17" s="30" t="n">
        <v>60</v>
      </c>
      <c r="D17" s="30" t="n">
        <v>500</v>
      </c>
      <c r="E17" s="33" t="n">
        <f aca="false">D17-C17</f>
        <v>440</v>
      </c>
      <c r="F17" s="27" t="n">
        <f aca="false">IF(D17=0,0,C17/D17)</f>
        <v>0.12</v>
      </c>
      <c r="G17" s="34" t="n">
        <v>0.01</v>
      </c>
    </row>
    <row r="18" customFormat="false" ht="15" hidden="false" customHeight="false" outlineLevel="0" collapsed="false">
      <c r="A18" s="18" t="s">
        <v>98</v>
      </c>
    </row>
    <row r="20" customFormat="false" ht="15" hidden="false" customHeight="false" outlineLevel="0" collapsed="false">
      <c r="A20" s="21" t="s">
        <v>99</v>
      </c>
      <c r="B20" s="22"/>
      <c r="C20" s="22"/>
      <c r="D20" s="22"/>
      <c r="E20" s="22"/>
      <c r="F20" s="22"/>
      <c r="G20" s="22"/>
      <c r="H20" s="22"/>
    </row>
    <row r="21" customFormat="false" ht="15" hidden="false" customHeight="false" outlineLevel="0" collapsed="false">
      <c r="A21" s="31" t="s">
        <v>77</v>
      </c>
      <c r="B21" s="31" t="s">
        <v>78</v>
      </c>
      <c r="C21" s="31" t="s">
        <v>79</v>
      </c>
      <c r="D21" s="31" t="s">
        <v>80</v>
      </c>
      <c r="E21" s="31" t="s">
        <v>81</v>
      </c>
      <c r="F21" s="31" t="s">
        <v>82</v>
      </c>
      <c r="G21" s="31" t="s">
        <v>83</v>
      </c>
    </row>
    <row r="22" customFormat="false" ht="15" hidden="false" customHeight="false" outlineLevel="0" collapsed="false">
      <c r="A22" s="23" t="s">
        <v>93</v>
      </c>
      <c r="B22" s="32" t="s">
        <v>85</v>
      </c>
      <c r="C22" s="30" t="n">
        <v>7</v>
      </c>
      <c r="D22" s="30" t="n">
        <v>45</v>
      </c>
      <c r="E22" s="33" t="n">
        <f aca="false">D22-C22</f>
        <v>38</v>
      </c>
      <c r="F22" s="27" t="n">
        <f aca="false">IF(D22=0,0,C22/D22)</f>
        <v>0.155555555555556</v>
      </c>
      <c r="G22" s="34" t="n">
        <v>0.1</v>
      </c>
    </row>
    <row r="23" customFormat="false" ht="15" hidden="false" customHeight="false" outlineLevel="0" collapsed="false">
      <c r="A23" s="23" t="s">
        <v>86</v>
      </c>
      <c r="B23" s="32" t="s">
        <v>100</v>
      </c>
      <c r="C23" s="30" t="n">
        <v>28</v>
      </c>
      <c r="D23" s="30" t="n">
        <v>140</v>
      </c>
      <c r="E23" s="33" t="n">
        <f aca="false">D23-C23</f>
        <v>112</v>
      </c>
      <c r="F23" s="27" t="n">
        <f aca="false">IF(D23=0,0,C23/D23)</f>
        <v>0.2</v>
      </c>
      <c r="G23" s="34" t="n">
        <v>0.03</v>
      </c>
    </row>
    <row r="24" customFormat="false" ht="15" hidden="false" customHeight="false" outlineLevel="0" collapsed="false">
      <c r="A24" s="23" t="s">
        <v>96</v>
      </c>
      <c r="B24" s="32" t="s">
        <v>101</v>
      </c>
      <c r="C24" s="30" t="n">
        <v>100</v>
      </c>
      <c r="D24" s="30" t="n">
        <v>1000</v>
      </c>
      <c r="E24" s="33" t="n">
        <f aca="false">D24-C24</f>
        <v>900</v>
      </c>
      <c r="F24" s="27" t="n">
        <f aca="false">IF(D24=0,0,C24/D24)</f>
        <v>0.1</v>
      </c>
      <c r="G24" s="34" t="n">
        <v>0.01</v>
      </c>
    </row>
    <row r="25" customFormat="false" ht="15" hidden="false" customHeight="false" outlineLevel="0" collapsed="false">
      <c r="A25" s="23" t="s">
        <v>102</v>
      </c>
      <c r="B25" s="32" t="s">
        <v>103</v>
      </c>
      <c r="C25" s="30" t="n">
        <v>150</v>
      </c>
      <c r="D25" s="30" t="n">
        <v>2400</v>
      </c>
      <c r="E25" s="33" t="n">
        <f aca="false">D25-C25</f>
        <v>2250</v>
      </c>
      <c r="F25" s="27" t="n">
        <f aca="false">IF(D25=0,0,C25/D25)</f>
        <v>0.0625</v>
      </c>
      <c r="G25" s="34" t="n">
        <v>0.01</v>
      </c>
    </row>
    <row r="26" customFormat="false" ht="15" hidden="false" customHeight="false" outlineLevel="0" collapsed="false">
      <c r="A26" s="18" t="s">
        <v>104</v>
      </c>
    </row>
    <row r="28" customFormat="false" ht="15" hidden="false" customHeight="false" outlineLevel="0" collapsed="false">
      <c r="A28" s="21" t="s">
        <v>105</v>
      </c>
      <c r="B28" s="22"/>
      <c r="C28" s="22"/>
      <c r="D28" s="22"/>
      <c r="E28" s="22"/>
      <c r="F28" s="22"/>
      <c r="G28" s="22"/>
      <c r="H28" s="22"/>
    </row>
    <row r="29" customFormat="false" ht="15" hidden="false" customHeight="false" outlineLevel="0" collapsed="false">
      <c r="A29" s="31" t="s">
        <v>106</v>
      </c>
      <c r="B29" s="31" t="s">
        <v>107</v>
      </c>
      <c r="C29" s="31" t="s">
        <v>108</v>
      </c>
      <c r="D29" s="31" t="s">
        <v>109</v>
      </c>
    </row>
    <row r="30" customFormat="false" ht="15" hidden="false" customHeight="false" outlineLevel="0" collapsed="false">
      <c r="A30" s="23" t="s">
        <v>110</v>
      </c>
      <c r="B30" s="27" t="n">
        <f aca="false">1*(1-F7-G7)</f>
        <v>0.714814814814815</v>
      </c>
      <c r="C30" s="27" t="n">
        <f aca="false">B30*(1-F8-G8)</f>
        <v>0.550407407407408</v>
      </c>
      <c r="D30" s="27" t="n">
        <f aca="false">C30*(1-F9-G9)</f>
        <v>0.500870740740741</v>
      </c>
    </row>
    <row r="31" customFormat="false" ht="15" hidden="false" customHeight="false" outlineLevel="0" collapsed="false">
      <c r="A31" s="23" t="s">
        <v>111</v>
      </c>
      <c r="B31" s="27" t="n">
        <f aca="false">G7</f>
        <v>0.1</v>
      </c>
      <c r="C31" s="27" t="n">
        <f aca="false">B31*(1-F8)+G8</f>
        <v>0.11</v>
      </c>
      <c r="D31" s="27" t="n">
        <f aca="false">C31*(1-F9)+G9</f>
        <v>0.1112</v>
      </c>
    </row>
    <row r="32" customFormat="false" ht="15" hidden="false" customHeight="false" outlineLevel="0" collapsed="false">
      <c r="A32" s="23" t="s">
        <v>112</v>
      </c>
      <c r="B32" s="27" t="n">
        <f aca="false">1-B30-B31</f>
        <v>0.185185185185185</v>
      </c>
      <c r="C32" s="27" t="n">
        <f aca="false">1-C30-C31</f>
        <v>0.339592592592593</v>
      </c>
      <c r="D32" s="27" t="n">
        <f aca="false">1-D30-D31</f>
        <v>0.387929259259259</v>
      </c>
    </row>
    <row r="33" customFormat="false" ht="15" hidden="false" customHeight="false" outlineLevel="0" collapsed="false">
      <c r="A33" s="19" t="s">
        <v>113</v>
      </c>
      <c r="B33" s="27" t="n">
        <f aca="false">B30+B31+B32</f>
        <v>1</v>
      </c>
      <c r="C33" s="27" t="n">
        <f aca="false">C30+C31+C32</f>
        <v>1</v>
      </c>
      <c r="D33" s="27" t="n">
        <f aca="false">D30+D31+D32</f>
        <v>1</v>
      </c>
    </row>
    <row r="34" customFormat="false" ht="15" hidden="false" customHeight="false" outlineLevel="0" collapsed="false">
      <c r="A34" s="19" t="s">
        <v>114</v>
      </c>
      <c r="B34" s="35" t="n">
        <f aca="false">D30*D9</f>
        <v>500.870740740741</v>
      </c>
    </row>
    <row r="36" customFormat="false" ht="15" hidden="false" customHeight="false" outlineLevel="0" collapsed="false">
      <c r="A36" s="18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2"/>
    <col collapsed="false" customWidth="true" hidden="false" outlineLevel="0" max="8" min="8" style="0" width="80"/>
  </cols>
  <sheetData>
    <row r="1" customFormat="false" ht="19.7" hidden="false" customHeight="false" outlineLevel="0" collapsed="false">
      <c r="A1" s="16" t="s">
        <v>116</v>
      </c>
    </row>
    <row r="2" customFormat="false" ht="15" hidden="false" customHeight="false" outlineLevel="0" collapsed="false">
      <c r="A2" s="17" t="s">
        <v>117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118</v>
      </c>
      <c r="B5" s="22"/>
      <c r="C5" s="22"/>
      <c r="D5" s="22"/>
      <c r="E5" s="22"/>
      <c r="F5" s="22"/>
      <c r="G5" s="22"/>
    </row>
    <row r="6" customFormat="false" ht="15" hidden="false" customHeight="false" outlineLevel="0" collapsed="false">
      <c r="A6" s="31" t="s">
        <v>119</v>
      </c>
      <c r="B6" s="36" t="s">
        <v>120</v>
      </c>
      <c r="C6" s="36" t="s">
        <v>121</v>
      </c>
      <c r="D6" s="36" t="s">
        <v>122</v>
      </c>
      <c r="E6" s="36" t="s">
        <v>123</v>
      </c>
      <c r="F6" s="36" t="s">
        <v>124</v>
      </c>
      <c r="G6" s="36" t="s">
        <v>125</v>
      </c>
    </row>
    <row r="7" customFormat="false" ht="15" hidden="false" customHeight="false" outlineLevel="0" collapsed="false">
      <c r="A7" s="19" t="s">
        <v>126</v>
      </c>
      <c r="B7" s="24" t="n">
        <v>50</v>
      </c>
      <c r="C7" s="24" t="n">
        <v>500</v>
      </c>
      <c r="D7" s="24" t="n">
        <v>2200</v>
      </c>
      <c r="E7" s="24" t="n">
        <v>5500</v>
      </c>
      <c r="F7" s="24" t="n">
        <v>11000</v>
      </c>
      <c r="G7" s="24" t="n">
        <v>18000</v>
      </c>
      <c r="H7" s="18" t="s">
        <v>127</v>
      </c>
    </row>
    <row r="8" customFormat="false" ht="15" hidden="false" customHeight="false" outlineLevel="0" collapsed="false">
      <c r="A8" s="23" t="s">
        <v>128</v>
      </c>
      <c r="B8" s="28"/>
      <c r="C8" s="29" t="n">
        <f aca="false">IF(B7=0,0,C7/B7)</f>
        <v>10</v>
      </c>
      <c r="D8" s="29" t="n">
        <f aca="false">IF(C7=0,0,D7/C7)</f>
        <v>4.4</v>
      </c>
      <c r="E8" s="29" t="n">
        <f aca="false">IF(D7=0,0,E7/D7)</f>
        <v>2.5</v>
      </c>
      <c r="F8" s="29" t="n">
        <f aca="false">IF(E7=0,0,F7/E7)</f>
        <v>2</v>
      </c>
      <c r="G8" s="29" t="n">
        <f aca="false">IF(F7=0,0,G7/F7)</f>
        <v>1.63636363636364</v>
      </c>
    </row>
    <row r="9" customFormat="false" ht="15" hidden="false" customHeight="false" outlineLevel="0" collapsed="false">
      <c r="A9" s="23" t="s">
        <v>129</v>
      </c>
      <c r="B9" s="25" t="n">
        <f aca="false">B7*0.25</f>
        <v>12.5</v>
      </c>
      <c r="C9" s="25" t="n">
        <f aca="false">(B7+C7)/2</f>
        <v>275</v>
      </c>
      <c r="D9" s="25" t="n">
        <f aca="false">(C7+D7)/2</f>
        <v>1350</v>
      </c>
      <c r="E9" s="25" t="n">
        <f aca="false">(D7+E7)/2</f>
        <v>3850</v>
      </c>
      <c r="F9" s="25" t="n">
        <f aca="false">(E7+F7)/2</f>
        <v>8250</v>
      </c>
      <c r="G9" s="25" t="n">
        <f aca="false">(F7+G7)/2</f>
        <v>14500</v>
      </c>
    </row>
    <row r="11" customFormat="false" ht="15" hidden="false" customHeight="false" outlineLevel="0" collapsed="false">
      <c r="A11" s="21" t="s">
        <v>130</v>
      </c>
      <c r="B11" s="22"/>
      <c r="C11" s="22"/>
      <c r="D11" s="22"/>
      <c r="E11" s="22"/>
      <c r="F11" s="22"/>
      <c r="G11" s="22"/>
    </row>
    <row r="12" customFormat="false" ht="15" hidden="false" customHeight="false" outlineLevel="0" collapsed="false">
      <c r="A12" s="31" t="s">
        <v>119</v>
      </c>
      <c r="B12" s="36" t="s">
        <v>120</v>
      </c>
      <c r="C12" s="36" t="s">
        <v>121</v>
      </c>
      <c r="D12" s="36" t="s">
        <v>122</v>
      </c>
      <c r="E12" s="36" t="s">
        <v>123</v>
      </c>
      <c r="F12" s="36" t="s">
        <v>124</v>
      </c>
      <c r="G12" s="36" t="s">
        <v>125</v>
      </c>
    </row>
    <row r="13" customFormat="false" ht="15" hidden="false" customHeight="false" outlineLevel="0" collapsed="false">
      <c r="A13" s="19" t="s">
        <v>126</v>
      </c>
      <c r="B13" s="24" t="n">
        <v>100</v>
      </c>
      <c r="C13" s="24" t="n">
        <v>1000</v>
      </c>
      <c r="D13" s="24" t="n">
        <v>4000</v>
      </c>
      <c r="E13" s="24" t="n">
        <v>10000</v>
      </c>
      <c r="F13" s="24" t="n">
        <v>20000</v>
      </c>
      <c r="G13" s="24" t="n">
        <v>34000</v>
      </c>
      <c r="H13" s="18" t="s">
        <v>131</v>
      </c>
    </row>
    <row r="14" customFormat="false" ht="15" hidden="false" customHeight="false" outlineLevel="0" collapsed="false">
      <c r="A14" s="23" t="s">
        <v>128</v>
      </c>
      <c r="B14" s="28"/>
      <c r="C14" s="29" t="n">
        <f aca="false">IF(B13=0,0,C13/B13)</f>
        <v>10</v>
      </c>
      <c r="D14" s="29" t="n">
        <f aca="false">IF(C13=0,0,D13/C13)</f>
        <v>4</v>
      </c>
      <c r="E14" s="29" t="n">
        <f aca="false">IF(D13=0,0,E13/D13)</f>
        <v>2.5</v>
      </c>
      <c r="F14" s="29" t="n">
        <f aca="false">IF(E13=0,0,F13/E13)</f>
        <v>2</v>
      </c>
      <c r="G14" s="29" t="n">
        <f aca="false">IF(F13=0,0,G13/F13)</f>
        <v>1.7</v>
      </c>
    </row>
    <row r="15" customFormat="false" ht="15" hidden="false" customHeight="false" outlineLevel="0" collapsed="false">
      <c r="A15" s="23" t="s">
        <v>129</v>
      </c>
      <c r="B15" s="25" t="n">
        <f aca="false">B13*0.25</f>
        <v>25</v>
      </c>
      <c r="C15" s="25" t="n">
        <f aca="false">(B13+C13)/2</f>
        <v>550</v>
      </c>
      <c r="D15" s="25" t="n">
        <f aca="false">(C13+D13)/2</f>
        <v>2500</v>
      </c>
      <c r="E15" s="25" t="n">
        <f aca="false">(D13+E13)/2</f>
        <v>7000</v>
      </c>
      <c r="F15" s="25" t="n">
        <f aca="false">(E13+F13)/2</f>
        <v>15000</v>
      </c>
      <c r="G15" s="25" t="n">
        <f aca="false">(F13+G13)/2</f>
        <v>27000</v>
      </c>
    </row>
    <row r="17" customFormat="false" ht="15" hidden="false" customHeight="false" outlineLevel="0" collapsed="false">
      <c r="A17" s="21" t="s">
        <v>132</v>
      </c>
      <c r="B17" s="22"/>
      <c r="C17" s="22"/>
      <c r="D17" s="22"/>
      <c r="E17" s="22"/>
      <c r="F17" s="22"/>
      <c r="G17" s="22"/>
    </row>
    <row r="18" customFormat="false" ht="15" hidden="false" customHeight="false" outlineLevel="0" collapsed="false">
      <c r="A18" s="31" t="s">
        <v>119</v>
      </c>
      <c r="B18" s="36" t="s">
        <v>120</v>
      </c>
      <c r="C18" s="36" t="s">
        <v>121</v>
      </c>
      <c r="D18" s="36" t="s">
        <v>122</v>
      </c>
      <c r="E18" s="36" t="s">
        <v>123</v>
      </c>
      <c r="F18" s="36" t="s">
        <v>124</v>
      </c>
      <c r="G18" s="36" t="s">
        <v>125</v>
      </c>
    </row>
    <row r="19" customFormat="false" ht="15" hidden="false" customHeight="false" outlineLevel="0" collapsed="false">
      <c r="A19" s="19" t="s">
        <v>126</v>
      </c>
      <c r="B19" s="24" t="n">
        <v>150</v>
      </c>
      <c r="C19" s="24" t="n">
        <v>2000</v>
      </c>
      <c r="D19" s="24" t="n">
        <v>8000</v>
      </c>
      <c r="E19" s="24" t="n">
        <v>18000</v>
      </c>
      <c r="F19" s="24" t="n">
        <v>35000</v>
      </c>
      <c r="G19" s="24" t="n">
        <v>60000</v>
      </c>
      <c r="H19" s="18" t="s">
        <v>133</v>
      </c>
    </row>
    <row r="20" customFormat="false" ht="15" hidden="false" customHeight="false" outlineLevel="0" collapsed="false">
      <c r="A20" s="23" t="s">
        <v>128</v>
      </c>
      <c r="B20" s="28"/>
      <c r="C20" s="29" t="n">
        <f aca="false">IF(B19=0,0,C19/B19)</f>
        <v>13.3333333333333</v>
      </c>
      <c r="D20" s="29" t="n">
        <f aca="false">IF(C19=0,0,D19/C19)</f>
        <v>4</v>
      </c>
      <c r="E20" s="29" t="n">
        <f aca="false">IF(D19=0,0,E19/D19)</f>
        <v>2.25</v>
      </c>
      <c r="F20" s="29" t="n">
        <f aca="false">IF(E19=0,0,F19/E19)</f>
        <v>1.94444444444444</v>
      </c>
      <c r="G20" s="29" t="n">
        <f aca="false">IF(F19=0,0,G19/F19)</f>
        <v>1.71428571428571</v>
      </c>
    </row>
    <row r="21" customFormat="false" ht="15" hidden="false" customHeight="false" outlineLevel="0" collapsed="false">
      <c r="A21" s="23" t="s">
        <v>129</v>
      </c>
      <c r="B21" s="25" t="n">
        <f aca="false">B19*0.25</f>
        <v>37.5</v>
      </c>
      <c r="C21" s="25" t="n">
        <f aca="false">(B19+C19)/2</f>
        <v>1075</v>
      </c>
      <c r="D21" s="25" t="n">
        <f aca="false">(C19+D19)/2</f>
        <v>5000</v>
      </c>
      <c r="E21" s="25" t="n">
        <f aca="false">(D19+E19)/2</f>
        <v>13000</v>
      </c>
      <c r="F21" s="25" t="n">
        <f aca="false">(E19+F19)/2</f>
        <v>26500</v>
      </c>
      <c r="G21" s="25" t="n">
        <f aca="false">(F19+G19)/2</f>
        <v>47500</v>
      </c>
    </row>
    <row r="24" customFormat="false" ht="15" hidden="false" customHeight="false" outlineLevel="0" collapsed="false">
      <c r="A24" s="18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2"/>
    <col collapsed="false" customWidth="true" hidden="false" outlineLevel="0" max="8" min="8" style="0" width="80"/>
  </cols>
  <sheetData>
    <row r="1" customFormat="false" ht="19.7" hidden="false" customHeight="false" outlineLevel="0" collapsed="false">
      <c r="A1" s="16" t="s">
        <v>135</v>
      </c>
    </row>
    <row r="2" customFormat="false" ht="15" hidden="false" customHeight="false" outlineLevel="0" collapsed="false">
      <c r="A2" s="17" t="s">
        <v>136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137</v>
      </c>
      <c r="B5" s="22"/>
      <c r="C5" s="22"/>
      <c r="D5" s="22"/>
      <c r="E5" s="22"/>
      <c r="F5" s="22"/>
      <c r="G5" s="22"/>
    </row>
    <row r="6" customFormat="false" ht="15" hidden="false" customHeight="false" outlineLevel="0" collapsed="false">
      <c r="A6" s="1"/>
      <c r="B6" s="36" t="s">
        <v>120</v>
      </c>
      <c r="C6" s="36" t="s">
        <v>121</v>
      </c>
      <c r="D6" s="36" t="s">
        <v>122</v>
      </c>
      <c r="E6" s="36" t="s">
        <v>123</v>
      </c>
      <c r="F6" s="36" t="s">
        <v>124</v>
      </c>
      <c r="G6" s="36" t="s">
        <v>125</v>
      </c>
    </row>
    <row r="7" customFormat="false" ht="15" hidden="false" customHeight="false" outlineLevel="0" collapsed="false">
      <c r="A7" s="23" t="s">
        <v>138</v>
      </c>
      <c r="B7" s="24" t="n">
        <v>2</v>
      </c>
      <c r="C7" s="24" t="n">
        <v>2</v>
      </c>
      <c r="D7" s="24" t="n">
        <v>3</v>
      </c>
      <c r="E7" s="24" t="n">
        <v>3</v>
      </c>
      <c r="F7" s="24" t="n">
        <v>5</v>
      </c>
      <c r="G7" s="24" t="n">
        <v>6</v>
      </c>
      <c r="H7" s="18" t="s">
        <v>139</v>
      </c>
    </row>
    <row r="8" customFormat="false" ht="15" hidden="false" customHeight="false" outlineLevel="0" collapsed="false">
      <c r="A8" s="23" t="s">
        <v>140</v>
      </c>
      <c r="B8" s="24" t="n">
        <v>3</v>
      </c>
      <c r="C8" s="24" t="n">
        <v>6</v>
      </c>
      <c r="D8" s="24" t="n">
        <v>9</v>
      </c>
      <c r="E8" s="24" t="n">
        <v>13</v>
      </c>
      <c r="F8" s="24" t="n">
        <v>20</v>
      </c>
      <c r="G8" s="24" t="n">
        <v>30</v>
      </c>
      <c r="H8" s="18" t="s">
        <v>141</v>
      </c>
    </row>
    <row r="9" customFormat="false" ht="15" hidden="false" customHeight="false" outlineLevel="0" collapsed="false">
      <c r="A9" s="23" t="s">
        <v>142</v>
      </c>
      <c r="B9" s="24" t="n">
        <v>0</v>
      </c>
      <c r="C9" s="24" t="n">
        <v>1</v>
      </c>
      <c r="D9" s="24" t="n">
        <v>2</v>
      </c>
      <c r="E9" s="24" t="n">
        <v>3</v>
      </c>
      <c r="F9" s="24" t="n">
        <v>5</v>
      </c>
      <c r="G9" s="24" t="n">
        <v>8</v>
      </c>
      <c r="H9" s="18" t="s">
        <v>143</v>
      </c>
    </row>
    <row r="10" customFormat="false" ht="15" hidden="false" customHeight="false" outlineLevel="0" collapsed="false">
      <c r="A10" s="23" t="s">
        <v>144</v>
      </c>
      <c r="B10" s="24" t="n">
        <v>0</v>
      </c>
      <c r="C10" s="24" t="n">
        <v>2</v>
      </c>
      <c r="D10" s="24" t="n">
        <v>4</v>
      </c>
      <c r="E10" s="24" t="n">
        <v>8</v>
      </c>
      <c r="F10" s="24" t="n">
        <v>15</v>
      </c>
      <c r="G10" s="24" t="n">
        <v>25</v>
      </c>
      <c r="H10" s="18" t="s">
        <v>145</v>
      </c>
    </row>
    <row r="11" customFormat="false" ht="15" hidden="false" customHeight="false" outlineLevel="0" collapsed="false">
      <c r="A11" s="23" t="s">
        <v>146</v>
      </c>
      <c r="B11" s="24" t="n">
        <v>0</v>
      </c>
      <c r="C11" s="24" t="n">
        <v>1</v>
      </c>
      <c r="D11" s="24" t="n">
        <v>2</v>
      </c>
      <c r="E11" s="24" t="n">
        <v>4</v>
      </c>
      <c r="F11" s="24" t="n">
        <v>7</v>
      </c>
      <c r="G11" s="24" t="n">
        <v>12</v>
      </c>
      <c r="H11" s="18" t="s">
        <v>147</v>
      </c>
    </row>
    <row r="12" customFormat="false" ht="15" hidden="false" customHeight="false" outlineLevel="0" collapsed="false">
      <c r="A12" s="23" t="s">
        <v>148</v>
      </c>
      <c r="B12" s="24" t="n">
        <v>1</v>
      </c>
      <c r="C12" s="24" t="n">
        <v>1</v>
      </c>
      <c r="D12" s="24" t="n">
        <v>2</v>
      </c>
      <c r="E12" s="24" t="n">
        <v>3</v>
      </c>
      <c r="F12" s="24" t="n">
        <v>3</v>
      </c>
      <c r="G12" s="24" t="n">
        <v>4</v>
      </c>
      <c r="H12" s="18" t="s">
        <v>149</v>
      </c>
    </row>
    <row r="13" customFormat="false" ht="15" hidden="false" customHeight="false" outlineLevel="0" collapsed="false">
      <c r="A13" s="19" t="s">
        <v>150</v>
      </c>
      <c r="B13" s="37" t="n">
        <f aca="false">SUM(B7:B12)</f>
        <v>6</v>
      </c>
      <c r="C13" s="37" t="n">
        <f aca="false">SUM(C7:C12)</f>
        <v>13</v>
      </c>
      <c r="D13" s="37" t="n">
        <f aca="false">SUM(D7:D12)</f>
        <v>22</v>
      </c>
      <c r="E13" s="37" t="n">
        <f aca="false">SUM(E7:E12)</f>
        <v>34</v>
      </c>
      <c r="F13" s="37" t="n">
        <f aca="false">SUM(F7:F12)</f>
        <v>55</v>
      </c>
      <c r="G13" s="37" t="n">
        <f aca="false">SUM(G7:G12)</f>
        <v>85</v>
      </c>
    </row>
    <row r="15" customFormat="false" ht="15" hidden="false" customHeight="false" outlineLevel="0" collapsed="false">
      <c r="A15" s="21" t="s">
        <v>151</v>
      </c>
      <c r="B15" s="22"/>
      <c r="C15" s="22"/>
      <c r="D15" s="22"/>
      <c r="E15" s="22"/>
      <c r="F15" s="22"/>
      <c r="G15" s="22"/>
    </row>
    <row r="16" customFormat="false" ht="15" hidden="false" customHeight="false" outlineLevel="0" collapsed="false">
      <c r="A16" s="23" t="s">
        <v>152</v>
      </c>
      <c r="B16" s="24" t="n">
        <v>5</v>
      </c>
      <c r="C16" s="24" t="n">
        <v>10</v>
      </c>
      <c r="D16" s="24" t="n">
        <v>15</v>
      </c>
      <c r="E16" s="24" t="n">
        <v>22</v>
      </c>
      <c r="F16" s="24" t="n">
        <v>30</v>
      </c>
      <c r="G16" s="24" t="n">
        <v>40</v>
      </c>
      <c r="H16" s="18" t="s">
        <v>153</v>
      </c>
    </row>
    <row r="17" customFormat="false" ht="15" hidden="false" customHeight="false" outlineLevel="0" collapsed="false">
      <c r="A17" s="23" t="s">
        <v>154</v>
      </c>
      <c r="B17" s="24" t="n">
        <v>7</v>
      </c>
      <c r="C17" s="24" t="n">
        <v>16</v>
      </c>
      <c r="D17" s="24" t="n">
        <v>30</v>
      </c>
      <c r="E17" s="24" t="n">
        <v>50</v>
      </c>
      <c r="F17" s="24" t="n">
        <v>80</v>
      </c>
      <c r="G17" s="24" t="n">
        <v>120</v>
      </c>
      <c r="H17" s="18" t="s">
        <v>155</v>
      </c>
    </row>
    <row r="19" customFormat="false" ht="15" hidden="false" customHeight="false" outlineLevel="0" collapsed="false">
      <c r="A19" s="21" t="s">
        <v>156</v>
      </c>
      <c r="B19" s="22"/>
      <c r="C19" s="22"/>
      <c r="D19" s="22"/>
      <c r="E19" s="22"/>
      <c r="F19" s="22"/>
      <c r="G19" s="22"/>
    </row>
    <row r="20" customFormat="false" ht="15" hidden="false" customHeight="false" outlineLevel="0" collapsed="false">
      <c r="A20" s="23" t="s">
        <v>157</v>
      </c>
      <c r="B20" s="33" t="n">
        <f aca="false">(2+B16)/2</f>
        <v>3.5</v>
      </c>
      <c r="C20" s="33" t="n">
        <f aca="false">(B16+C16)/2</f>
        <v>7.5</v>
      </c>
      <c r="D20" s="33" t="n">
        <f aca="false">(C16+D16)/2</f>
        <v>12.5</v>
      </c>
      <c r="E20" s="33" t="n">
        <f aca="false">(D16+E16)/2</f>
        <v>18.5</v>
      </c>
      <c r="F20" s="33" t="n">
        <f aca="false">(E16+F16)/2</f>
        <v>26</v>
      </c>
      <c r="G20" s="33" t="n">
        <f aca="false">(F16+G16)/2</f>
        <v>35</v>
      </c>
    </row>
    <row r="21" customFormat="false" ht="15" hidden="false" customHeight="false" outlineLevel="0" collapsed="false">
      <c r="A21" s="23" t="s">
        <v>158</v>
      </c>
      <c r="B21" s="33" t="n">
        <f aca="false">(2+B13)/2</f>
        <v>4</v>
      </c>
      <c r="C21" s="33" t="n">
        <f aca="false">(B13+C13)/2</f>
        <v>9.5</v>
      </c>
      <c r="D21" s="33" t="n">
        <f aca="false">(C13+D13)/2</f>
        <v>17.5</v>
      </c>
      <c r="E21" s="33" t="n">
        <f aca="false">(D13+E13)/2</f>
        <v>28</v>
      </c>
      <c r="F21" s="33" t="n">
        <f aca="false">(E13+F13)/2</f>
        <v>44.5</v>
      </c>
      <c r="G21" s="33" t="n">
        <f aca="false">(F13+G13)/2</f>
        <v>70</v>
      </c>
    </row>
    <row r="22" customFormat="false" ht="15" hidden="false" customHeight="false" outlineLevel="0" collapsed="false">
      <c r="A22" s="23" t="s">
        <v>159</v>
      </c>
      <c r="B22" s="33" t="n">
        <f aca="false">(2+B17)/2</f>
        <v>4.5</v>
      </c>
      <c r="C22" s="33" t="n">
        <f aca="false">(B17+C17)/2</f>
        <v>11.5</v>
      </c>
      <c r="D22" s="33" t="n">
        <f aca="false">(C17+D17)/2</f>
        <v>23</v>
      </c>
      <c r="E22" s="33" t="n">
        <f aca="false">(D17+E17)/2</f>
        <v>40</v>
      </c>
      <c r="F22" s="33" t="n">
        <f aca="false">(E17+F17)/2</f>
        <v>65</v>
      </c>
      <c r="G22" s="33" t="n">
        <f aca="false">(F17+G17)/2</f>
        <v>100</v>
      </c>
    </row>
    <row r="24" customFormat="false" ht="15" hidden="false" customHeight="false" outlineLevel="0" collapsed="false">
      <c r="A24" s="18" t="s">
        <v>160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2"/>
    <col collapsed="false" customWidth="true" hidden="false" outlineLevel="0" max="8" min="8" style="0" width="86"/>
  </cols>
  <sheetData>
    <row r="1" customFormat="false" ht="19.7" hidden="false" customHeight="false" outlineLevel="0" collapsed="false">
      <c r="A1" s="16" t="s">
        <v>161</v>
      </c>
    </row>
    <row r="2" customFormat="false" ht="15" hidden="false" customHeight="false" outlineLevel="0" collapsed="false">
      <c r="A2" s="17" t="s">
        <v>162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163</v>
      </c>
      <c r="B5" s="22"/>
      <c r="C5" s="22"/>
      <c r="D5" s="22"/>
      <c r="E5" s="22"/>
      <c r="F5" s="22"/>
      <c r="G5" s="22"/>
    </row>
    <row r="6" customFormat="false" ht="15" hidden="false" customHeight="false" outlineLevel="0" collapsed="false">
      <c r="A6" s="1"/>
      <c r="B6" s="36" t="s">
        <v>120</v>
      </c>
      <c r="C6" s="36" t="s">
        <v>121</v>
      </c>
      <c r="D6" s="36" t="s">
        <v>122</v>
      </c>
      <c r="E6" s="36" t="s">
        <v>123</v>
      </c>
      <c r="F6" s="36" t="s">
        <v>124</v>
      </c>
      <c r="G6" s="36" t="s">
        <v>125</v>
      </c>
    </row>
    <row r="7" customFormat="false" ht="15" hidden="false" customHeight="false" outlineLevel="0" collapsed="false">
      <c r="A7" s="19" t="s">
        <v>164</v>
      </c>
      <c r="B7" s="38" t="n">
        <f aca="false">'Headcount Plan'!B21*Assumptions!B6*0.5</f>
        <v>380</v>
      </c>
      <c r="C7" s="38" t="n">
        <f aca="false">'Headcount Plan'!C21*Assumptions!C6</f>
        <v>1877.2</v>
      </c>
      <c r="D7" s="38" t="n">
        <f aca="false">'Headcount Plan'!D21*Assumptions!D6</f>
        <v>3596.32</v>
      </c>
      <c r="E7" s="38" t="n">
        <f aca="false">'Headcount Plan'!E21*Assumptions!E6</f>
        <v>5984.27648</v>
      </c>
      <c r="F7" s="38" t="n">
        <f aca="false">'Headcount Plan'!F21*Assumptions!F6</f>
        <v>9891.1541248</v>
      </c>
      <c r="G7" s="38" t="n">
        <f aca="false">'Headcount Plan'!G21*Assumptions!G6</f>
        <v>16181.48360192</v>
      </c>
      <c r="H7" s="18" t="s">
        <v>165</v>
      </c>
    </row>
    <row r="9" customFormat="false" ht="15" hidden="false" customHeight="false" outlineLevel="0" collapsed="false">
      <c r="A9" s="21" t="s">
        <v>166</v>
      </c>
      <c r="B9" s="22"/>
      <c r="C9" s="22"/>
      <c r="D9" s="22"/>
      <c r="E9" s="22"/>
      <c r="F9" s="22"/>
      <c r="G9" s="22"/>
    </row>
    <row r="10" customFormat="false" ht="15" hidden="false" customHeight="false" outlineLevel="0" collapsed="false">
      <c r="A10" s="23" t="s">
        <v>167</v>
      </c>
      <c r="B10" s="24" t="n">
        <v>60</v>
      </c>
      <c r="C10" s="24" t="n">
        <v>250</v>
      </c>
      <c r="D10" s="24" t="n">
        <v>600</v>
      </c>
      <c r="E10" s="24" t="n">
        <v>1200</v>
      </c>
      <c r="F10" s="24" t="n">
        <v>2200</v>
      </c>
      <c r="G10" s="24" t="n">
        <v>3500</v>
      </c>
      <c r="H10" s="18" t="s">
        <v>168</v>
      </c>
    </row>
    <row r="11" customFormat="false" ht="15" hidden="false" customHeight="false" outlineLevel="0" collapsed="false">
      <c r="A11" s="23" t="s">
        <v>169</v>
      </c>
      <c r="B11" s="24" t="n">
        <v>40</v>
      </c>
      <c r="C11" s="24" t="n">
        <v>300</v>
      </c>
      <c r="D11" s="24" t="n">
        <v>800</v>
      </c>
      <c r="E11" s="24" t="n">
        <v>1600</v>
      </c>
      <c r="F11" s="24" t="n">
        <v>3000</v>
      </c>
      <c r="G11" s="24" t="n">
        <v>5200</v>
      </c>
      <c r="H11" s="18" t="s">
        <v>170</v>
      </c>
    </row>
    <row r="12" customFormat="false" ht="15" hidden="false" customHeight="false" outlineLevel="0" collapsed="false">
      <c r="A12" s="23" t="s">
        <v>171</v>
      </c>
      <c r="B12" s="24" t="n">
        <v>30</v>
      </c>
      <c r="C12" s="24" t="n">
        <v>150</v>
      </c>
      <c r="D12" s="24" t="n">
        <v>250</v>
      </c>
      <c r="E12" s="24" t="n">
        <v>300</v>
      </c>
      <c r="F12" s="24" t="n">
        <v>400</v>
      </c>
      <c r="G12" s="24" t="n">
        <v>500</v>
      </c>
      <c r="H12" s="18" t="s">
        <v>172</v>
      </c>
    </row>
    <row r="13" customFormat="false" ht="15" hidden="false" customHeight="false" outlineLevel="0" collapsed="false">
      <c r="A13" s="23" t="s">
        <v>173</v>
      </c>
      <c r="B13" s="24" t="n">
        <v>80</v>
      </c>
      <c r="C13" s="24" t="n">
        <v>250</v>
      </c>
      <c r="D13" s="24" t="n">
        <v>300</v>
      </c>
      <c r="E13" s="24" t="n">
        <v>350</v>
      </c>
      <c r="F13" s="24" t="n">
        <v>600</v>
      </c>
      <c r="G13" s="24" t="n">
        <v>500</v>
      </c>
      <c r="H13" s="18" t="s">
        <v>174</v>
      </c>
    </row>
    <row r="14" customFormat="false" ht="15" hidden="false" customHeight="false" outlineLevel="0" collapsed="false">
      <c r="A14" s="23" t="s">
        <v>175</v>
      </c>
      <c r="B14" s="24" t="n">
        <v>40</v>
      </c>
      <c r="C14" s="24" t="n">
        <v>60</v>
      </c>
      <c r="D14" s="24" t="n">
        <v>100</v>
      </c>
      <c r="E14" s="24" t="n">
        <v>150</v>
      </c>
      <c r="F14" s="24" t="n">
        <v>250</v>
      </c>
      <c r="G14" s="24" t="n">
        <v>350</v>
      </c>
      <c r="H14" s="18" t="s">
        <v>176</v>
      </c>
    </row>
    <row r="15" customFormat="false" ht="15" hidden="false" customHeight="false" outlineLevel="0" collapsed="false">
      <c r="A15" s="23" t="s">
        <v>177</v>
      </c>
      <c r="B15" s="39" t="n">
        <f aca="false">'Headcount Plan'!B21*Assumptions!$B$26*0.5</f>
        <v>28.8</v>
      </c>
      <c r="C15" s="39" t="n">
        <f aca="false">'Headcount Plan'!C21*Assumptions!$B$26</f>
        <v>136.8</v>
      </c>
      <c r="D15" s="39" t="n">
        <f aca="false">'Headcount Plan'!D21*Assumptions!$B$26</f>
        <v>252</v>
      </c>
      <c r="E15" s="39" t="n">
        <f aca="false">'Headcount Plan'!E21*Assumptions!$B$26</f>
        <v>403.2</v>
      </c>
      <c r="F15" s="39" t="n">
        <f aca="false">'Headcount Plan'!F21*Assumptions!$B$26</f>
        <v>640.8</v>
      </c>
      <c r="G15" s="39" t="n">
        <f aca="false">'Headcount Plan'!G21*Assumptions!$B$26</f>
        <v>1008</v>
      </c>
    </row>
    <row r="16" customFormat="false" ht="15" hidden="false" customHeight="false" outlineLevel="0" collapsed="false">
      <c r="A16" s="23" t="s">
        <v>178</v>
      </c>
      <c r="B16" s="39" t="n">
        <f aca="false">'Headcount Plan'!B21*Assumptions!$B$27*0.5</f>
        <v>18</v>
      </c>
      <c r="C16" s="39" t="n">
        <f aca="false">'Headcount Plan'!C21*Assumptions!$B$27</f>
        <v>85.5</v>
      </c>
      <c r="D16" s="39" t="n">
        <f aca="false">'Headcount Plan'!D21*Assumptions!$B$27</f>
        <v>157.5</v>
      </c>
      <c r="E16" s="39" t="n">
        <f aca="false">'Headcount Plan'!E21*Assumptions!$B$27</f>
        <v>252</v>
      </c>
      <c r="F16" s="39" t="n">
        <f aca="false">'Headcount Plan'!F21*Assumptions!$B$27</f>
        <v>400.5</v>
      </c>
      <c r="G16" s="39" t="n">
        <f aca="false">'Headcount Plan'!G21*Assumptions!$B$27</f>
        <v>630</v>
      </c>
    </row>
    <row r="17" customFormat="false" ht="15" hidden="false" customHeight="false" outlineLevel="0" collapsed="false">
      <c r="A17" s="23" t="s">
        <v>179</v>
      </c>
      <c r="B17" s="24" t="n">
        <v>0</v>
      </c>
      <c r="C17" s="24" t="n">
        <v>300</v>
      </c>
      <c r="D17" s="24" t="n">
        <v>700</v>
      </c>
      <c r="E17" s="24" t="n">
        <v>900</v>
      </c>
      <c r="F17" s="24" t="n">
        <v>0</v>
      </c>
      <c r="G17" s="24" t="n">
        <v>0</v>
      </c>
      <c r="H17" s="18" t="s">
        <v>180</v>
      </c>
    </row>
    <row r="19" customFormat="false" ht="15" hidden="false" customHeight="false" outlineLevel="0" collapsed="false">
      <c r="A19" s="21" t="s">
        <v>181</v>
      </c>
      <c r="B19" s="22"/>
      <c r="C19" s="22"/>
      <c r="D19" s="22"/>
      <c r="E19" s="22"/>
      <c r="F19" s="22"/>
      <c r="G19" s="22"/>
    </row>
    <row r="20" customFormat="false" ht="15" hidden="false" customHeight="false" outlineLevel="0" collapsed="false">
      <c r="A20" s="23" t="s">
        <v>182</v>
      </c>
      <c r="B20" s="25" t="n">
        <f aca="false">B10+B11+B12+B13+B14</f>
        <v>250</v>
      </c>
      <c r="C20" s="25" t="n">
        <f aca="false">C10+C11+C12+C13+C14</f>
        <v>1010</v>
      </c>
      <c r="D20" s="25" t="n">
        <f aca="false">D10+D11+D12+D13+D14</f>
        <v>2050</v>
      </c>
      <c r="E20" s="25" t="n">
        <f aca="false">E10+E11+E12+E13+E14</f>
        <v>3600</v>
      </c>
      <c r="F20" s="25" t="n">
        <f aca="false">F10+F11+F12+F13+F14</f>
        <v>6450</v>
      </c>
      <c r="G20" s="25" t="n">
        <f aca="false">G10+G11+G12+G13+G14</f>
        <v>10050</v>
      </c>
      <c r="H20" s="18" t="s">
        <v>183</v>
      </c>
    </row>
    <row r="21" customFormat="false" ht="15" hidden="false" customHeight="false" outlineLevel="0" collapsed="false">
      <c r="A21" s="23" t="s">
        <v>184</v>
      </c>
      <c r="B21" s="25" t="n">
        <f aca="false">B7+B20+B15+B16+B17</f>
        <v>676.8</v>
      </c>
      <c r="C21" s="25" t="n">
        <f aca="false">C7+C20+C15+C16+C17</f>
        <v>3409.5</v>
      </c>
      <c r="D21" s="25" t="n">
        <f aca="false">D7+D20+D15+D16+D17</f>
        <v>6755.82</v>
      </c>
      <c r="E21" s="25" t="n">
        <f aca="false">E7+E20+E15+E16+E17</f>
        <v>11139.47648</v>
      </c>
      <c r="F21" s="25" t="n">
        <f aca="false">F7+F20+F15+F16+F17</f>
        <v>17382.4541248</v>
      </c>
      <c r="G21" s="25" t="n">
        <f aca="false">G7+G20+G15+G16+G17</f>
        <v>27869.48360192</v>
      </c>
    </row>
    <row r="22" customFormat="false" ht="15" hidden="false" customHeight="false" outlineLevel="0" collapsed="false">
      <c r="A22" s="23" t="s">
        <v>185</v>
      </c>
      <c r="B22" s="39" t="n">
        <f aca="false">B21*Assumptions!$B$8</f>
        <v>54.144</v>
      </c>
      <c r="C22" s="39" t="n">
        <f aca="false">C21*Assumptions!$B$8</f>
        <v>272.76</v>
      </c>
      <c r="D22" s="39" t="n">
        <f aca="false">D21*Assumptions!$B$8</f>
        <v>540.4656</v>
      </c>
      <c r="E22" s="39" t="n">
        <f aca="false">E21*Assumptions!$B$8</f>
        <v>891.1581184</v>
      </c>
      <c r="F22" s="39" t="n">
        <f aca="false">F21*Assumptions!$B$8</f>
        <v>1390.596329984</v>
      </c>
      <c r="G22" s="39" t="n">
        <f aca="false">G21*Assumptions!$B$8</f>
        <v>2229.5586881536</v>
      </c>
    </row>
    <row r="23" customFormat="false" ht="15" hidden="false" customHeight="false" outlineLevel="0" collapsed="false">
      <c r="A23" s="19" t="s">
        <v>186</v>
      </c>
      <c r="B23" s="37" t="n">
        <f aca="false">B21+B22</f>
        <v>730.944</v>
      </c>
      <c r="C23" s="37" t="n">
        <f aca="false">C21+C22</f>
        <v>3682.26</v>
      </c>
      <c r="D23" s="37" t="n">
        <f aca="false">D21+D22</f>
        <v>7296.2856</v>
      </c>
      <c r="E23" s="37" t="n">
        <f aca="false">E21+E22</f>
        <v>12030.6345984</v>
      </c>
      <c r="F23" s="37" t="n">
        <f aca="false">F21+F22</f>
        <v>18773.050454784</v>
      </c>
      <c r="G23" s="37" t="n">
        <f aca="false">G21+G22</f>
        <v>30099.0422900736</v>
      </c>
    </row>
    <row r="25" customFormat="false" ht="15" hidden="false" customHeight="false" outlineLevel="0" collapsed="false">
      <c r="A25" s="18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2"/>
    <col collapsed="false" customWidth="true" hidden="false" outlineLevel="0" max="8" min="8" style="0" width="80"/>
  </cols>
  <sheetData>
    <row r="1" customFormat="false" ht="19.7" hidden="false" customHeight="false" outlineLevel="0" collapsed="false">
      <c r="A1" s="16" t="s">
        <v>188</v>
      </c>
    </row>
    <row r="2" customFormat="false" ht="15" hidden="false" customHeight="false" outlineLevel="0" collapsed="false">
      <c r="A2" s="17" t="s">
        <v>189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190</v>
      </c>
      <c r="B5" s="22"/>
      <c r="C5" s="22"/>
      <c r="D5" s="22"/>
      <c r="E5" s="22"/>
      <c r="F5" s="22"/>
      <c r="G5" s="22"/>
    </row>
    <row r="6" customFormat="false" ht="15" hidden="false" customHeight="false" outlineLevel="0" collapsed="false">
      <c r="A6" s="1"/>
      <c r="B6" s="36" t="s">
        <v>120</v>
      </c>
      <c r="C6" s="36" t="s">
        <v>121</v>
      </c>
      <c r="D6" s="36" t="s">
        <v>122</v>
      </c>
      <c r="E6" s="36" t="s">
        <v>123</v>
      </c>
      <c r="F6" s="36" t="s">
        <v>124</v>
      </c>
      <c r="G6" s="36" t="s">
        <v>125</v>
      </c>
    </row>
    <row r="7" customFormat="false" ht="15" hidden="false" customHeight="false" outlineLevel="0" collapsed="false">
      <c r="A7" s="23" t="s">
        <v>191</v>
      </c>
      <c r="B7" s="39" t="n">
        <f aca="false">MAX(0,'Headcount Plan'!B13-2)*Assumptions!$B$28</f>
        <v>20</v>
      </c>
      <c r="C7" s="39" t="n">
        <f aca="false">MAX(0,'Headcount Plan'!C13-'Headcount Plan'!B13)*Assumptions!$B$28</f>
        <v>35</v>
      </c>
      <c r="D7" s="39" t="n">
        <f aca="false">MAX(0,'Headcount Plan'!D13-'Headcount Plan'!C13)*Assumptions!$B$28</f>
        <v>45</v>
      </c>
      <c r="E7" s="39" t="n">
        <f aca="false">MAX(0,'Headcount Plan'!E13-'Headcount Plan'!D13)*Assumptions!$B$28</f>
        <v>60</v>
      </c>
      <c r="F7" s="39" t="n">
        <f aca="false">MAX(0,'Headcount Plan'!F13-'Headcount Plan'!E13)*Assumptions!$B$28</f>
        <v>105</v>
      </c>
      <c r="G7" s="39" t="n">
        <f aca="false">MAX(0,'Headcount Plan'!G13-'Headcount Plan'!F13)*Assumptions!$B$28</f>
        <v>150</v>
      </c>
    </row>
    <row r="8" customFormat="false" ht="15" hidden="false" customHeight="false" outlineLevel="0" collapsed="false">
      <c r="A8" s="23" t="s">
        <v>192</v>
      </c>
      <c r="B8" s="39" t="n">
        <f aca="false">'Headcount Plan'!B21*Assumptions!$B$29</f>
        <v>4</v>
      </c>
      <c r="C8" s="39" t="n">
        <f aca="false">'Headcount Plan'!C21*Assumptions!$B$29</f>
        <v>9.5</v>
      </c>
      <c r="D8" s="39" t="n">
        <f aca="false">'Headcount Plan'!D21*Assumptions!$B$29</f>
        <v>17.5</v>
      </c>
      <c r="E8" s="39" t="n">
        <f aca="false">'Headcount Plan'!E21*Assumptions!$B$29</f>
        <v>28</v>
      </c>
      <c r="F8" s="39" t="n">
        <f aca="false">'Headcount Plan'!F21*Assumptions!$B$29</f>
        <v>44.5</v>
      </c>
      <c r="G8" s="39" t="n">
        <f aca="false">'Headcount Plan'!G21*Assumptions!$B$29</f>
        <v>70</v>
      </c>
    </row>
    <row r="9" customFormat="false" ht="15" hidden="false" customHeight="false" outlineLevel="0" collapsed="false">
      <c r="A9" s="23" t="s">
        <v>193</v>
      </c>
      <c r="B9" s="24" t="n">
        <v>40</v>
      </c>
      <c r="C9" s="24" t="n">
        <v>120</v>
      </c>
      <c r="D9" s="24" t="n">
        <v>150</v>
      </c>
      <c r="E9" s="24" t="n">
        <v>200</v>
      </c>
      <c r="F9" s="24" t="n">
        <v>300</v>
      </c>
      <c r="G9" s="24" t="n">
        <v>300</v>
      </c>
      <c r="H9" s="18" t="s">
        <v>194</v>
      </c>
    </row>
    <row r="10" customFormat="false" ht="15" hidden="false" customHeight="false" outlineLevel="0" collapsed="false">
      <c r="A10" s="23" t="s">
        <v>195</v>
      </c>
      <c r="B10" s="24" t="n">
        <v>0</v>
      </c>
      <c r="C10" s="24" t="n">
        <v>0</v>
      </c>
      <c r="D10" s="24" t="n">
        <v>0</v>
      </c>
      <c r="E10" s="24" t="n">
        <v>100</v>
      </c>
      <c r="F10" s="24" t="n">
        <v>250</v>
      </c>
      <c r="G10" s="24" t="n">
        <v>200</v>
      </c>
      <c r="H10" s="18" t="s">
        <v>196</v>
      </c>
    </row>
    <row r="11" customFormat="false" ht="15" hidden="false" customHeight="false" outlineLevel="0" collapsed="false">
      <c r="A11" s="19" t="s">
        <v>197</v>
      </c>
      <c r="B11" s="37" t="n">
        <f aca="false">SUM(B7:B10)</f>
        <v>64</v>
      </c>
      <c r="C11" s="37" t="n">
        <f aca="false">SUM(C7:C10)</f>
        <v>164.5</v>
      </c>
      <c r="D11" s="37" t="n">
        <f aca="false">SUM(D7:D10)</f>
        <v>212.5</v>
      </c>
      <c r="E11" s="37" t="n">
        <f aca="false">SUM(E7:E10)</f>
        <v>388</v>
      </c>
      <c r="F11" s="37" t="n">
        <f aca="false">SUM(F7:F10)</f>
        <v>699.5</v>
      </c>
      <c r="G11" s="37" t="n">
        <f aca="false">SUM(G7:G10)</f>
        <v>720</v>
      </c>
    </row>
    <row r="13" customFormat="false" ht="15" hidden="false" customHeight="false" outlineLevel="0" collapsed="false">
      <c r="A13" s="21" t="s">
        <v>198</v>
      </c>
      <c r="B13" s="22"/>
      <c r="C13" s="22"/>
      <c r="D13" s="22"/>
      <c r="E13" s="22"/>
      <c r="F13" s="22"/>
      <c r="G13" s="22"/>
    </row>
    <row r="14" customFormat="false" ht="15" hidden="false" customHeight="false" outlineLevel="0" collapsed="false">
      <c r="A14" s="23" t="s">
        <v>199</v>
      </c>
      <c r="B14" s="39" t="n">
        <f aca="false">B11*'Headcount Plan'!B20/'Headcount Plan'!B21</f>
        <v>56</v>
      </c>
      <c r="C14" s="39" t="n">
        <f aca="false">C11*'Headcount Plan'!C20/'Headcount Plan'!C21</f>
        <v>129.868421052632</v>
      </c>
      <c r="D14" s="39" t="n">
        <f aca="false">D11*'Headcount Plan'!D20/'Headcount Plan'!D21</f>
        <v>151.785714285714</v>
      </c>
      <c r="E14" s="39" t="n">
        <f aca="false">E11*'Headcount Plan'!E20/'Headcount Plan'!E21</f>
        <v>256.357142857143</v>
      </c>
      <c r="F14" s="39" t="n">
        <f aca="false">F11*'Headcount Plan'!F20/'Headcount Plan'!F21</f>
        <v>408.696629213483</v>
      </c>
      <c r="G14" s="39" t="n">
        <f aca="false">G11*'Headcount Plan'!G20/'Headcount Plan'!G21</f>
        <v>360</v>
      </c>
    </row>
    <row r="15" customFormat="false" ht="15" hidden="false" customHeight="false" outlineLevel="0" collapsed="false">
      <c r="A15" s="23" t="s">
        <v>200</v>
      </c>
      <c r="B15" s="39" t="n">
        <f aca="false">B11*'Headcount Plan'!B22/'Headcount Plan'!B21</f>
        <v>72</v>
      </c>
      <c r="C15" s="39" t="n">
        <f aca="false">C11*'Headcount Plan'!C22/'Headcount Plan'!C21</f>
        <v>199.131578947368</v>
      </c>
      <c r="D15" s="39" t="n">
        <f aca="false">D11*'Headcount Plan'!D22/'Headcount Plan'!D21</f>
        <v>279.285714285714</v>
      </c>
      <c r="E15" s="39" t="n">
        <f aca="false">E11*'Headcount Plan'!E22/'Headcount Plan'!E21</f>
        <v>554.285714285714</v>
      </c>
      <c r="F15" s="39" t="n">
        <f aca="false">F11*'Headcount Plan'!F22/'Headcount Plan'!F21</f>
        <v>1021.74157303371</v>
      </c>
      <c r="G15" s="39" t="n">
        <f aca="false">G11*'Headcount Plan'!G22/'Headcount Plan'!G21</f>
        <v>1028.57142857143</v>
      </c>
    </row>
    <row r="17" customFormat="false" ht="15" hidden="false" customHeight="false" outlineLevel="0" collapsed="false">
      <c r="A17" s="18" t="s">
        <v>201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2"/>
    <col collapsed="false" customWidth="true" hidden="false" outlineLevel="0" max="8" min="8" style="0" width="80"/>
  </cols>
  <sheetData>
    <row r="1" customFormat="false" ht="19.7" hidden="false" customHeight="false" outlineLevel="0" collapsed="false">
      <c r="A1" s="16" t="s">
        <v>202</v>
      </c>
    </row>
    <row r="2" customFormat="false" ht="15" hidden="false" customHeight="false" outlineLevel="0" collapsed="false">
      <c r="A2" s="17" t="s">
        <v>203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118</v>
      </c>
      <c r="B5" s="22"/>
      <c r="C5" s="22"/>
      <c r="D5" s="22"/>
      <c r="E5" s="22"/>
      <c r="F5" s="22"/>
      <c r="G5" s="22"/>
    </row>
    <row r="6" customFormat="false" ht="15" hidden="false" customHeight="false" outlineLevel="0" collapsed="false">
      <c r="A6" s="1"/>
      <c r="B6" s="36" t="s">
        <v>120</v>
      </c>
      <c r="C6" s="36" t="s">
        <v>121</v>
      </c>
      <c r="D6" s="36" t="s">
        <v>122</v>
      </c>
      <c r="E6" s="36" t="s">
        <v>123</v>
      </c>
      <c r="F6" s="36" t="s">
        <v>124</v>
      </c>
      <c r="G6" s="36" t="s">
        <v>125</v>
      </c>
    </row>
    <row r="7" customFormat="false" ht="15" hidden="false" customHeight="false" outlineLevel="0" collapsed="false">
      <c r="A7" s="23" t="s">
        <v>204</v>
      </c>
      <c r="B7" s="39" t="n">
        <f aca="false">'ARR Forecast'!B9</f>
        <v>12.5</v>
      </c>
      <c r="C7" s="39" t="n">
        <f aca="false">'ARR Forecast'!C9</f>
        <v>275</v>
      </c>
      <c r="D7" s="39" t="n">
        <f aca="false">'ARR Forecast'!D9</f>
        <v>1350</v>
      </c>
      <c r="E7" s="39" t="n">
        <f aca="false">'ARR Forecast'!E9</f>
        <v>3850</v>
      </c>
      <c r="F7" s="39" t="n">
        <f aca="false">'ARR Forecast'!F9</f>
        <v>8250</v>
      </c>
      <c r="G7" s="39" t="n">
        <f aca="false">'ARR Forecast'!G9</f>
        <v>14500</v>
      </c>
    </row>
    <row r="8" customFormat="false" ht="15" hidden="false" customHeight="false" outlineLevel="0" collapsed="false">
      <c r="A8" s="23" t="s">
        <v>205</v>
      </c>
      <c r="B8" s="39" t="n">
        <f aca="false">-B7*(1-Assumptions!B13)</f>
        <v>-5.625</v>
      </c>
      <c r="C8" s="39" t="n">
        <f aca="false">-C7*(1-Assumptions!C13)</f>
        <v>-115.5</v>
      </c>
      <c r="D8" s="39" t="n">
        <f aca="false">-D7*(1-Assumptions!D13)</f>
        <v>-513</v>
      </c>
      <c r="E8" s="39" t="n">
        <f aca="false">-E7*(1-Assumptions!E13)</f>
        <v>-1309</v>
      </c>
      <c r="F8" s="39" t="n">
        <f aca="false">-F7*(1-Assumptions!F13)</f>
        <v>-2557.5</v>
      </c>
      <c r="G8" s="39" t="n">
        <f aca="false">-G7*(1-Assumptions!G13)</f>
        <v>-4060</v>
      </c>
    </row>
    <row r="9" customFormat="false" ht="15" hidden="false" customHeight="false" outlineLevel="0" collapsed="false">
      <c r="A9" s="19" t="s">
        <v>206</v>
      </c>
      <c r="B9" s="37" t="n">
        <f aca="false">B7+B8</f>
        <v>6.875</v>
      </c>
      <c r="C9" s="37" t="n">
        <f aca="false">C7+C8</f>
        <v>159.5</v>
      </c>
      <c r="D9" s="37" t="n">
        <f aca="false">D7+D8</f>
        <v>837</v>
      </c>
      <c r="E9" s="37" t="n">
        <f aca="false">E7+E8</f>
        <v>2541</v>
      </c>
      <c r="F9" s="37" t="n">
        <f aca="false">F7+F8</f>
        <v>5692.5</v>
      </c>
      <c r="G9" s="37" t="n">
        <f aca="false">G7+G8</f>
        <v>10440</v>
      </c>
    </row>
    <row r="10" customFormat="false" ht="15" hidden="false" customHeight="false" outlineLevel="0" collapsed="false">
      <c r="A10" s="23" t="s">
        <v>207</v>
      </c>
      <c r="B10" s="27" t="n">
        <f aca="false">IF(B7=0,0,B9/B7)</f>
        <v>0.55</v>
      </c>
      <c r="C10" s="27" t="n">
        <f aca="false">IF(C7=0,0,C9/C7)</f>
        <v>0.58</v>
      </c>
      <c r="D10" s="27" t="n">
        <f aca="false">IF(D7=0,0,D9/D7)</f>
        <v>0.62</v>
      </c>
      <c r="E10" s="27" t="n">
        <f aca="false">IF(E7=0,0,E9/E7)</f>
        <v>0.66</v>
      </c>
      <c r="F10" s="27" t="n">
        <f aca="false">IF(F7=0,0,F9/F7)</f>
        <v>0.69</v>
      </c>
      <c r="G10" s="27" t="n">
        <f aca="false">IF(G7=0,0,G9/G7)</f>
        <v>0.72</v>
      </c>
    </row>
    <row r="11" customFormat="false" ht="15" hidden="false" customHeight="false" outlineLevel="0" collapsed="false">
      <c r="A11" s="23" t="s">
        <v>208</v>
      </c>
      <c r="B11" s="39" t="n">
        <f aca="false">-('Headcount Plan'!B20*Assumptions!B6*0.5+'Budget - OpEx'!B20*'Headcount Plan'!B20/'Headcount Plan'!B21+'Headcount Plan'!B20*(Assumptions!$B$26+Assumptions!$B$27)*0.5+0)*(1+Assumptions!$B$8)</f>
        <v>-639.576</v>
      </c>
      <c r="C11" s="39" t="n">
        <f aca="false">-('Headcount Plan'!C20*Assumptions!C6+'Budget - OpEx'!C20*'Headcount Plan'!C20/'Headcount Plan'!C21+'Headcount Plan'!C20*(Assumptions!$B$26+Assumptions!$B$27)+0)*(1+Assumptions!$B$8)</f>
        <v>-2651.25789473684</v>
      </c>
      <c r="D11" s="39" t="n">
        <f aca="false">-('Headcount Plan'!D20*Assumptions!D6+'Budget - OpEx'!D20*'Headcount Plan'!D20/'Headcount Plan'!D21+'Headcount Plan'!D20*(Assumptions!$B$26+Assumptions!$B$27)+0)*(1+Assumptions!$B$8)</f>
        <v>-4671.63257142857</v>
      </c>
      <c r="E11" s="39" t="n">
        <f aca="false">-('Headcount Plan'!E20*Assumptions!E6+'Budget - OpEx'!E20*'Headcount Plan'!E20/'Headcount Plan'!E21+'Headcount Plan'!E20*(Assumptions!$B$26+Assumptions!$B$27)+0)*(1+Assumptions!$B$8)</f>
        <v>-7306.59785965714</v>
      </c>
      <c r="F11" s="39" t="n">
        <f aca="false">-('Headcount Plan'!F20*Assumptions!F6+'Budget - OpEx'!F20*'Headcount Plan'!F20/'Headcount Plan'!F21+'Headcount Plan'!F20*(Assumptions!$B$26+Assumptions!$B$27)+0)*(1+Assumptions!$B$8)</f>
        <v>-10968.5238612221</v>
      </c>
      <c r="G11" s="39" t="n">
        <f aca="false">-('Headcount Plan'!G20*Assumptions!G6+'Budget - OpEx'!G20*'Headcount Plan'!G20/'Headcount Plan'!G21+'Headcount Plan'!G20*(Assumptions!$B$26+Assumptions!$B$27)+0)*(1+Assumptions!$B$8)</f>
        <v>-15049.5211450368</v>
      </c>
      <c r="H11" s="18" t="s">
        <v>209</v>
      </c>
    </row>
    <row r="12" customFormat="false" ht="15" hidden="false" customHeight="false" outlineLevel="0" collapsed="false">
      <c r="A12" s="19" t="s">
        <v>210</v>
      </c>
      <c r="B12" s="37" t="n">
        <f aca="false">B9+B11</f>
        <v>-632.701</v>
      </c>
      <c r="C12" s="37" t="n">
        <f aca="false">C9+C11</f>
        <v>-2491.75789473684</v>
      </c>
      <c r="D12" s="37" t="n">
        <f aca="false">D9+D11</f>
        <v>-3834.63257142857</v>
      </c>
      <c r="E12" s="37" t="n">
        <f aca="false">E9+E11</f>
        <v>-4765.59785965714</v>
      </c>
      <c r="F12" s="37" t="n">
        <f aca="false">F9+F11</f>
        <v>-5276.02386122211</v>
      </c>
      <c r="G12" s="37" t="n">
        <f aca="false">G9+G11</f>
        <v>-4609.5211450368</v>
      </c>
    </row>
    <row r="13" customFormat="false" ht="15" hidden="false" customHeight="false" outlineLevel="0" collapsed="false">
      <c r="A13" s="23" t="s">
        <v>211</v>
      </c>
      <c r="B13" s="27" t="n">
        <f aca="false">IF(B7=0,0,B12/B7)</f>
        <v>-50.61608</v>
      </c>
      <c r="C13" s="27" t="n">
        <f aca="false">IF(C7=0,0,C12/C7)</f>
        <v>-9.06093779904306</v>
      </c>
      <c r="D13" s="27" t="n">
        <f aca="false">IF(D7=0,0,D12/D7)</f>
        <v>-2.84046857142857</v>
      </c>
      <c r="E13" s="27" t="n">
        <f aca="false">IF(E7=0,0,E12/E7)</f>
        <v>-1.23781762588497</v>
      </c>
      <c r="F13" s="27" t="n">
        <f aca="false">IF(F7=0,0,F12/F7)</f>
        <v>-0.639518043784499</v>
      </c>
      <c r="G13" s="27" t="n">
        <f aca="false">IF(G7=0,0,G12/G7)</f>
        <v>-0.317898010002538</v>
      </c>
    </row>
    <row r="14" customFormat="false" ht="15" hidden="false" customHeight="false" outlineLevel="0" collapsed="false">
      <c r="A14" s="23" t="s">
        <v>212</v>
      </c>
      <c r="B14" s="39" t="n">
        <f aca="false">B12-'Budget - CapEx'!B14</f>
        <v>-688.701</v>
      </c>
      <c r="C14" s="39" t="n">
        <f aca="false">C12-'Budget - CapEx'!C14</f>
        <v>-2621.62631578947</v>
      </c>
      <c r="D14" s="39" t="n">
        <f aca="false">D12-'Budget - CapEx'!D14</f>
        <v>-3986.41828571429</v>
      </c>
      <c r="E14" s="39" t="n">
        <f aca="false">E12-'Budget - CapEx'!E14</f>
        <v>-5021.95500251429</v>
      </c>
      <c r="F14" s="39" t="n">
        <f aca="false">F12-'Budget - CapEx'!F14</f>
        <v>-5684.7204904356</v>
      </c>
      <c r="G14" s="39" t="n">
        <f aca="false">G12-'Budget - CapEx'!G14</f>
        <v>-4969.5211450368</v>
      </c>
    </row>
    <row r="15" customFormat="false" ht="15" hidden="false" customHeight="false" outlineLevel="0" collapsed="false">
      <c r="A15" s="23" t="s">
        <v>213</v>
      </c>
      <c r="B15" s="40" t="n">
        <f aca="false">IF('ARR Forecast'!B7=0,0,MAX(0,-B14)/'ARR Forecast'!B7)</f>
        <v>13.77402</v>
      </c>
      <c r="C15" s="40" t="n">
        <f aca="false">IF(('ARR Forecast'!C7-'ARR Forecast'!B7)=0,0,MAX(0,-C14)/('ARR Forecast'!C7-'ARR Forecast'!B7))</f>
        <v>5.82583625730994</v>
      </c>
      <c r="D15" s="40" t="n">
        <f aca="false">IF(('ARR Forecast'!D7-'ARR Forecast'!C7)=0,0,MAX(0,-D14)/('ARR Forecast'!D7-'ARR Forecast'!C7))</f>
        <v>2.34495193277311</v>
      </c>
      <c r="E15" s="40" t="n">
        <f aca="false">IF(('ARR Forecast'!E7-'ARR Forecast'!D7)=0,0,MAX(0,-E14)/('ARR Forecast'!E7-'ARR Forecast'!D7))</f>
        <v>1.52180454621645</v>
      </c>
      <c r="F15" s="40" t="n">
        <f aca="false">IF(('ARR Forecast'!F7-'ARR Forecast'!E7)=0,0,MAX(0,-F14)/('ARR Forecast'!F7-'ARR Forecast'!E7))</f>
        <v>1.03358554371556</v>
      </c>
      <c r="G15" s="40" t="n">
        <f aca="false">IF(('ARR Forecast'!G7-'ARR Forecast'!F7)=0,0,MAX(0,-G14)/('ARR Forecast'!G7-'ARR Forecast'!F7))</f>
        <v>0.709931592148115</v>
      </c>
      <c r="H15" s="18" t="s">
        <v>214</v>
      </c>
    </row>
    <row r="17" customFormat="false" ht="15" hidden="false" customHeight="false" outlineLevel="0" collapsed="false">
      <c r="A17" s="21" t="s">
        <v>130</v>
      </c>
      <c r="B17" s="22"/>
      <c r="C17" s="22"/>
      <c r="D17" s="22"/>
      <c r="E17" s="22"/>
      <c r="F17" s="22"/>
      <c r="G17" s="22"/>
    </row>
    <row r="18" customFormat="false" ht="15" hidden="false" customHeight="false" outlineLevel="0" collapsed="false">
      <c r="A18" s="1"/>
      <c r="B18" s="36" t="s">
        <v>120</v>
      </c>
      <c r="C18" s="36" t="s">
        <v>121</v>
      </c>
      <c r="D18" s="36" t="s">
        <v>122</v>
      </c>
      <c r="E18" s="36" t="s">
        <v>123</v>
      </c>
      <c r="F18" s="36" t="s">
        <v>124</v>
      </c>
      <c r="G18" s="36" t="s">
        <v>125</v>
      </c>
    </row>
    <row r="19" customFormat="false" ht="15" hidden="false" customHeight="false" outlineLevel="0" collapsed="false">
      <c r="A19" s="23" t="s">
        <v>204</v>
      </c>
      <c r="B19" s="39" t="n">
        <f aca="false">'ARR Forecast'!B15</f>
        <v>25</v>
      </c>
      <c r="C19" s="39" t="n">
        <f aca="false">'ARR Forecast'!C15</f>
        <v>550</v>
      </c>
      <c r="D19" s="39" t="n">
        <f aca="false">'ARR Forecast'!D15</f>
        <v>2500</v>
      </c>
      <c r="E19" s="39" t="n">
        <f aca="false">'ARR Forecast'!E15</f>
        <v>7000</v>
      </c>
      <c r="F19" s="39" t="n">
        <f aca="false">'ARR Forecast'!F15</f>
        <v>15000</v>
      </c>
      <c r="G19" s="39" t="n">
        <f aca="false">'ARR Forecast'!G15</f>
        <v>27000</v>
      </c>
    </row>
    <row r="20" customFormat="false" ht="15" hidden="false" customHeight="false" outlineLevel="0" collapsed="false">
      <c r="A20" s="23" t="s">
        <v>205</v>
      </c>
      <c r="B20" s="39" t="n">
        <f aca="false">-B19*(1-Assumptions!B14)</f>
        <v>-10</v>
      </c>
      <c r="C20" s="39" t="n">
        <f aca="false">-C19*(1-Assumptions!C14)</f>
        <v>-198</v>
      </c>
      <c r="D20" s="39" t="n">
        <f aca="false">-D19*(1-Assumptions!D14)</f>
        <v>-800</v>
      </c>
      <c r="E20" s="39" t="n">
        <f aca="false">-E19*(1-Assumptions!E14)</f>
        <v>-1960</v>
      </c>
      <c r="F20" s="39" t="n">
        <f aca="false">-F19*(1-Assumptions!F14)</f>
        <v>-3750</v>
      </c>
      <c r="G20" s="39" t="n">
        <f aca="false">-G19*(1-Assumptions!G14)</f>
        <v>-5940</v>
      </c>
    </row>
    <row r="21" customFormat="false" ht="15" hidden="false" customHeight="false" outlineLevel="0" collapsed="false">
      <c r="A21" s="19" t="s">
        <v>206</v>
      </c>
      <c r="B21" s="37" t="n">
        <f aca="false">B19+B20</f>
        <v>15</v>
      </c>
      <c r="C21" s="37" t="n">
        <f aca="false">C19+C20</f>
        <v>352</v>
      </c>
      <c r="D21" s="37" t="n">
        <f aca="false">D19+D20</f>
        <v>1700</v>
      </c>
      <c r="E21" s="37" t="n">
        <f aca="false">E19+E20</f>
        <v>5040</v>
      </c>
      <c r="F21" s="37" t="n">
        <f aca="false">F19+F20</f>
        <v>11250</v>
      </c>
      <c r="G21" s="37" t="n">
        <f aca="false">G19+G20</f>
        <v>21060</v>
      </c>
    </row>
    <row r="22" customFormat="false" ht="15" hidden="false" customHeight="false" outlineLevel="0" collapsed="false">
      <c r="A22" s="23" t="s">
        <v>207</v>
      </c>
      <c r="B22" s="27" t="n">
        <f aca="false">IF(B19=0,0,B21/B19)</f>
        <v>0.6</v>
      </c>
      <c r="C22" s="27" t="n">
        <f aca="false">IF(C19=0,0,C21/C19)</f>
        <v>0.64</v>
      </c>
      <c r="D22" s="27" t="n">
        <f aca="false">IF(D19=0,0,D21/D19)</f>
        <v>0.68</v>
      </c>
      <c r="E22" s="27" t="n">
        <f aca="false">IF(E19=0,0,E21/E19)</f>
        <v>0.72</v>
      </c>
      <c r="F22" s="27" t="n">
        <f aca="false">IF(F19=0,0,F21/F19)</f>
        <v>0.75</v>
      </c>
      <c r="G22" s="27" t="n">
        <f aca="false">IF(G19=0,0,G21/G19)</f>
        <v>0.78</v>
      </c>
    </row>
    <row r="23" customFormat="false" ht="15" hidden="false" customHeight="false" outlineLevel="0" collapsed="false">
      <c r="A23" s="23" t="s">
        <v>208</v>
      </c>
      <c r="B23" s="39" t="n">
        <f aca="false">-'Budget - OpEx'!B23</f>
        <v>-730.944</v>
      </c>
      <c r="C23" s="39" t="n">
        <f aca="false">-'Budget - OpEx'!C23</f>
        <v>-3682.26</v>
      </c>
      <c r="D23" s="39" t="n">
        <f aca="false">-'Budget - OpEx'!D23</f>
        <v>-7296.2856</v>
      </c>
      <c r="E23" s="39" t="n">
        <f aca="false">-'Budget - OpEx'!E23</f>
        <v>-12030.6345984</v>
      </c>
      <c r="F23" s="39" t="n">
        <f aca="false">-'Budget - OpEx'!F23</f>
        <v>-18773.050454784</v>
      </c>
      <c r="G23" s="39" t="n">
        <f aca="false">-'Budget - OpEx'!G23</f>
        <v>-30099.0422900736</v>
      </c>
    </row>
    <row r="24" customFormat="false" ht="15" hidden="false" customHeight="false" outlineLevel="0" collapsed="false">
      <c r="A24" s="19" t="s">
        <v>210</v>
      </c>
      <c r="B24" s="37" t="n">
        <f aca="false">B21+B23</f>
        <v>-715.944</v>
      </c>
      <c r="C24" s="37" t="n">
        <f aca="false">C21+C23</f>
        <v>-3330.26</v>
      </c>
      <c r="D24" s="37" t="n">
        <f aca="false">D21+D23</f>
        <v>-5596.2856</v>
      </c>
      <c r="E24" s="37" t="n">
        <f aca="false">E21+E23</f>
        <v>-6990.6345984</v>
      </c>
      <c r="F24" s="37" t="n">
        <f aca="false">F21+F23</f>
        <v>-7523.050454784</v>
      </c>
      <c r="G24" s="37" t="n">
        <f aca="false">G21+G23</f>
        <v>-9039.0422900736</v>
      </c>
    </row>
    <row r="25" customFormat="false" ht="15" hidden="false" customHeight="false" outlineLevel="0" collapsed="false">
      <c r="A25" s="23" t="s">
        <v>211</v>
      </c>
      <c r="B25" s="27" t="n">
        <f aca="false">IF(B19=0,0,B24/B19)</f>
        <v>-28.63776</v>
      </c>
      <c r="C25" s="27" t="n">
        <f aca="false">IF(C19=0,0,C24/C19)</f>
        <v>-6.05501818181818</v>
      </c>
      <c r="D25" s="27" t="n">
        <f aca="false">IF(D19=0,0,D24/D19)</f>
        <v>-2.23851424</v>
      </c>
      <c r="E25" s="27" t="n">
        <f aca="false">IF(E19=0,0,E24/E19)</f>
        <v>-0.998662085485715</v>
      </c>
      <c r="F25" s="27" t="n">
        <f aca="false">IF(F19=0,0,F24/F19)</f>
        <v>-0.5015366969856</v>
      </c>
      <c r="G25" s="27" t="n">
        <f aca="false">IF(G19=0,0,G24/G19)</f>
        <v>-0.3347793440768</v>
      </c>
    </row>
    <row r="26" customFormat="false" ht="15" hidden="false" customHeight="false" outlineLevel="0" collapsed="false">
      <c r="A26" s="23" t="s">
        <v>212</v>
      </c>
      <c r="B26" s="39" t="n">
        <f aca="false">B24-'Budget - CapEx'!B11</f>
        <v>-779.944</v>
      </c>
      <c r="C26" s="39" t="n">
        <f aca="false">C24-'Budget - CapEx'!C11</f>
        <v>-3494.76</v>
      </c>
      <c r="D26" s="39" t="n">
        <f aca="false">D24-'Budget - CapEx'!D11</f>
        <v>-5808.7856</v>
      </c>
      <c r="E26" s="39" t="n">
        <f aca="false">E24-'Budget - CapEx'!E11</f>
        <v>-7378.6345984</v>
      </c>
      <c r="F26" s="39" t="n">
        <f aca="false">F24-'Budget - CapEx'!F11</f>
        <v>-8222.550454784</v>
      </c>
      <c r="G26" s="39" t="n">
        <f aca="false">G24-'Budget - CapEx'!G11</f>
        <v>-9759.0422900736</v>
      </c>
    </row>
    <row r="27" customFormat="false" ht="15" hidden="false" customHeight="false" outlineLevel="0" collapsed="false">
      <c r="A27" s="23" t="s">
        <v>213</v>
      </c>
      <c r="B27" s="40" t="n">
        <f aca="false">IF('ARR Forecast'!B13=0,0,MAX(0,-B26)/'ARR Forecast'!B13)</f>
        <v>7.79944</v>
      </c>
      <c r="C27" s="40" t="n">
        <f aca="false">IF(('ARR Forecast'!C13-'ARR Forecast'!B13)=0,0,MAX(0,-C26)/('ARR Forecast'!C13-'ARR Forecast'!B13))</f>
        <v>3.88306666666667</v>
      </c>
      <c r="D27" s="40" t="n">
        <f aca="false">IF(('ARR Forecast'!D13-'ARR Forecast'!C13)=0,0,MAX(0,-D26)/('ARR Forecast'!D13-'ARR Forecast'!C13))</f>
        <v>1.93626186666667</v>
      </c>
      <c r="E27" s="40" t="n">
        <f aca="false">IF(('ARR Forecast'!E13-'ARR Forecast'!D13)=0,0,MAX(0,-E26)/('ARR Forecast'!E13-'ARR Forecast'!D13))</f>
        <v>1.22977243306667</v>
      </c>
      <c r="F27" s="40" t="n">
        <f aca="false">IF(('ARR Forecast'!F13-'ARR Forecast'!E13)=0,0,MAX(0,-F26)/('ARR Forecast'!F13-'ARR Forecast'!E13))</f>
        <v>0.8222550454784</v>
      </c>
      <c r="G27" s="40" t="n">
        <f aca="false">IF(('ARR Forecast'!G13-'ARR Forecast'!F13)=0,0,MAX(0,-G26)/('ARR Forecast'!G13-'ARR Forecast'!F13))</f>
        <v>0.697074449290972</v>
      </c>
      <c r="H27" s="18" t="s">
        <v>214</v>
      </c>
    </row>
    <row r="29" customFormat="false" ht="15" hidden="false" customHeight="false" outlineLevel="0" collapsed="false">
      <c r="A29" s="21" t="s">
        <v>132</v>
      </c>
      <c r="B29" s="22"/>
      <c r="C29" s="22"/>
      <c r="D29" s="22"/>
      <c r="E29" s="22"/>
      <c r="F29" s="22"/>
      <c r="G29" s="22"/>
    </row>
    <row r="30" customFormat="false" ht="15" hidden="false" customHeight="false" outlineLevel="0" collapsed="false">
      <c r="A30" s="1"/>
      <c r="B30" s="36" t="s">
        <v>120</v>
      </c>
      <c r="C30" s="36" t="s">
        <v>121</v>
      </c>
      <c r="D30" s="36" t="s">
        <v>122</v>
      </c>
      <c r="E30" s="36" t="s">
        <v>123</v>
      </c>
      <c r="F30" s="36" t="s">
        <v>124</v>
      </c>
      <c r="G30" s="36" t="s">
        <v>125</v>
      </c>
    </row>
    <row r="31" customFormat="false" ht="15" hidden="false" customHeight="false" outlineLevel="0" collapsed="false">
      <c r="A31" s="23" t="s">
        <v>204</v>
      </c>
      <c r="B31" s="39" t="n">
        <f aca="false">'ARR Forecast'!B21</f>
        <v>37.5</v>
      </c>
      <c r="C31" s="39" t="n">
        <f aca="false">'ARR Forecast'!C21</f>
        <v>1075</v>
      </c>
      <c r="D31" s="39" t="n">
        <f aca="false">'ARR Forecast'!D21</f>
        <v>5000</v>
      </c>
      <c r="E31" s="39" t="n">
        <f aca="false">'ARR Forecast'!E21</f>
        <v>13000</v>
      </c>
      <c r="F31" s="39" t="n">
        <f aca="false">'ARR Forecast'!F21</f>
        <v>26500</v>
      </c>
      <c r="G31" s="39" t="n">
        <f aca="false">'ARR Forecast'!G21</f>
        <v>47500</v>
      </c>
    </row>
    <row r="32" customFormat="false" ht="15" hidden="false" customHeight="false" outlineLevel="0" collapsed="false">
      <c r="A32" s="23" t="s">
        <v>205</v>
      </c>
      <c r="B32" s="39" t="n">
        <f aca="false">-B31*(1-Assumptions!B15)</f>
        <v>-13.875</v>
      </c>
      <c r="C32" s="39" t="n">
        <f aca="false">-C31*(1-Assumptions!C15)</f>
        <v>-354.75</v>
      </c>
      <c r="D32" s="39" t="n">
        <f aca="false">-D31*(1-Assumptions!D15)</f>
        <v>-1450</v>
      </c>
      <c r="E32" s="39" t="n">
        <f aca="false">-E31*(1-Assumptions!E15)</f>
        <v>-3250</v>
      </c>
      <c r="F32" s="39" t="n">
        <f aca="false">-F31*(1-Assumptions!F15)</f>
        <v>-5830</v>
      </c>
      <c r="G32" s="39" t="n">
        <f aca="false">-G31*(1-Assumptions!G15)</f>
        <v>-9500</v>
      </c>
    </row>
    <row r="33" customFormat="false" ht="15" hidden="false" customHeight="false" outlineLevel="0" collapsed="false">
      <c r="A33" s="19" t="s">
        <v>206</v>
      </c>
      <c r="B33" s="37" t="n">
        <f aca="false">B31+B32</f>
        <v>23.625</v>
      </c>
      <c r="C33" s="37" t="n">
        <f aca="false">C31+C32</f>
        <v>720.25</v>
      </c>
      <c r="D33" s="37" t="n">
        <f aca="false">D31+D32</f>
        <v>3550</v>
      </c>
      <c r="E33" s="37" t="n">
        <f aca="false">E31+E32</f>
        <v>9750</v>
      </c>
      <c r="F33" s="37" t="n">
        <f aca="false">F31+F32</f>
        <v>20670</v>
      </c>
      <c r="G33" s="37" t="n">
        <f aca="false">G31+G32</f>
        <v>38000</v>
      </c>
    </row>
    <row r="34" customFormat="false" ht="15" hidden="false" customHeight="false" outlineLevel="0" collapsed="false">
      <c r="A34" s="23" t="s">
        <v>207</v>
      </c>
      <c r="B34" s="27" t="n">
        <f aca="false">IF(B31=0,0,B33/B31)</f>
        <v>0.63</v>
      </c>
      <c r="C34" s="27" t="n">
        <f aca="false">IF(C31=0,0,C33/C31)</f>
        <v>0.67</v>
      </c>
      <c r="D34" s="27" t="n">
        <f aca="false">IF(D31=0,0,D33/D31)</f>
        <v>0.71</v>
      </c>
      <c r="E34" s="27" t="n">
        <f aca="false">IF(E31=0,0,E33/E31)</f>
        <v>0.75</v>
      </c>
      <c r="F34" s="27" t="n">
        <f aca="false">IF(F31=0,0,F33/F31)</f>
        <v>0.78</v>
      </c>
      <c r="G34" s="27" t="n">
        <f aca="false">IF(G31=0,0,G33/G31)</f>
        <v>0.8</v>
      </c>
    </row>
    <row r="35" customFormat="false" ht="15" hidden="false" customHeight="false" outlineLevel="0" collapsed="false">
      <c r="A35" s="23" t="s">
        <v>208</v>
      </c>
      <c r="B35" s="39" t="n">
        <f aca="false">-('Headcount Plan'!B22*Assumptions!B6*0.5+'Budget - OpEx'!B20*'Headcount Plan'!B22/'Headcount Plan'!B21+'Headcount Plan'!B22*(Assumptions!$B$26+Assumptions!$B$27)*0.5+'Budget - OpEx'!B17)*(1+Assumptions!$B$8)</f>
        <v>-822.312</v>
      </c>
      <c r="C35" s="39" t="n">
        <f aca="false">-('Headcount Plan'!C22*Assumptions!C6+'Budget - OpEx'!C20*'Headcount Plan'!C22/'Headcount Plan'!C21+'Headcount Plan'!C22*(Assumptions!$B$26+Assumptions!$B$27)+'Budget - OpEx'!C17)*(1+Assumptions!$B$8)</f>
        <v>-4389.26210526316</v>
      </c>
      <c r="D35" s="39" t="n">
        <f aca="false">-('Headcount Plan'!D22*Assumptions!D6+'Budget - OpEx'!D20*'Headcount Plan'!D22/'Headcount Plan'!D21+'Headcount Plan'!D22*(Assumptions!$B$26+Assumptions!$B$27)+'Budget - OpEx'!D17)*(1+Assumptions!$B$8)</f>
        <v>-9351.80393142857</v>
      </c>
      <c r="E35" s="39" t="n">
        <f aca="false">-('Headcount Plan'!E22*Assumptions!E6+'Budget - OpEx'!E20*'Headcount Plan'!E22/'Headcount Plan'!E21+'Headcount Plan'!E22*(Assumptions!$B$26+Assumptions!$B$27)+'Budget - OpEx'!E17)*(1+Assumptions!$B$8)</f>
        <v>-16770.0494262857</v>
      </c>
      <c r="F35" s="39" t="n">
        <f aca="false">-('Headcount Plan'!F22*Assumptions!F6+'Budget - OpEx'!F20*'Headcount Plan'!F22/'Headcount Plan'!F21+'Headcount Plan'!F22*(Assumptions!$B$26+Assumptions!$B$27)+'Budget - OpEx'!F17)*(1+Assumptions!$B$8)</f>
        <v>-27421.3096530553</v>
      </c>
      <c r="G35" s="39" t="n">
        <f aca="false">-('Headcount Plan'!G22*Assumptions!G6+'Budget - OpEx'!G20*'Headcount Plan'!G22/'Headcount Plan'!G21+'Headcount Plan'!G22*(Assumptions!$B$26+Assumptions!$B$27)+'Budget - OpEx'!G17)*(1+Assumptions!$B$8)</f>
        <v>-42998.6318429623</v>
      </c>
      <c r="H35" s="18" t="s">
        <v>215</v>
      </c>
    </row>
    <row r="36" customFormat="false" ht="15" hidden="false" customHeight="false" outlineLevel="0" collapsed="false">
      <c r="A36" s="19" t="s">
        <v>210</v>
      </c>
      <c r="B36" s="37" t="n">
        <f aca="false">B33+B35</f>
        <v>-798.687</v>
      </c>
      <c r="C36" s="37" t="n">
        <f aca="false">C33+C35</f>
        <v>-3669.01210526316</v>
      </c>
      <c r="D36" s="37" t="n">
        <f aca="false">D33+D35</f>
        <v>-5801.80393142857</v>
      </c>
      <c r="E36" s="37" t="n">
        <f aca="false">E33+E35</f>
        <v>-7020.04942628571</v>
      </c>
      <c r="F36" s="37" t="n">
        <f aca="false">F33+F35</f>
        <v>-6751.30965305528</v>
      </c>
      <c r="G36" s="37" t="n">
        <f aca="false">G33+G35</f>
        <v>-4998.63184296229</v>
      </c>
    </row>
    <row r="37" customFormat="false" ht="15" hidden="false" customHeight="false" outlineLevel="0" collapsed="false">
      <c r="A37" s="23" t="s">
        <v>211</v>
      </c>
      <c r="B37" s="27" t="n">
        <f aca="false">IF(B31=0,0,B36/B31)</f>
        <v>-21.29832</v>
      </c>
      <c r="C37" s="27" t="n">
        <f aca="false">IF(C31=0,0,C36/C31)</f>
        <v>-3.41303451652387</v>
      </c>
      <c r="D37" s="27" t="n">
        <f aca="false">IF(D31=0,0,D36/D31)</f>
        <v>-1.16036078628571</v>
      </c>
      <c r="E37" s="27" t="n">
        <f aca="false">IF(E31=0,0,E36/E31)</f>
        <v>-0.540003802021978</v>
      </c>
      <c r="F37" s="27" t="n">
        <f aca="false">IF(F31=0,0,F36/F31)</f>
        <v>-0.254766402002086</v>
      </c>
      <c r="G37" s="27" t="n">
        <f aca="false">IF(G31=0,0,G36/G31)</f>
        <v>-0.10523435458868</v>
      </c>
    </row>
    <row r="38" customFormat="false" ht="15" hidden="false" customHeight="false" outlineLevel="0" collapsed="false">
      <c r="A38" s="23" t="s">
        <v>212</v>
      </c>
      <c r="B38" s="39" t="n">
        <f aca="false">B36-'Budget - CapEx'!B15</f>
        <v>-870.687</v>
      </c>
      <c r="C38" s="39" t="n">
        <f aca="false">C36-'Budget - CapEx'!C15</f>
        <v>-3868.14368421053</v>
      </c>
      <c r="D38" s="39" t="n">
        <f aca="false">D36-'Budget - CapEx'!D15</f>
        <v>-6081.08964571429</v>
      </c>
      <c r="E38" s="39" t="n">
        <f aca="false">E36-'Budget - CapEx'!E15</f>
        <v>-7574.33514057143</v>
      </c>
      <c r="F38" s="39" t="n">
        <f aca="false">F36-'Budget - CapEx'!F15</f>
        <v>-7773.05122608899</v>
      </c>
      <c r="G38" s="39" t="n">
        <f aca="false">G36-'Budget - CapEx'!G15</f>
        <v>-6027.20327153372</v>
      </c>
    </row>
    <row r="39" customFormat="false" ht="15" hidden="false" customHeight="false" outlineLevel="0" collapsed="false">
      <c r="A39" s="23" t="s">
        <v>213</v>
      </c>
      <c r="B39" s="40" t="n">
        <f aca="false">IF('ARR Forecast'!B19=0,0,MAX(0,-B38)/'ARR Forecast'!B19)</f>
        <v>5.80458</v>
      </c>
      <c r="C39" s="40" t="n">
        <f aca="false">IF(('ARR Forecast'!C19-'ARR Forecast'!B19)=0,0,MAX(0,-C38)/('ARR Forecast'!C19-'ARR Forecast'!B19))</f>
        <v>2.09088847795164</v>
      </c>
      <c r="D39" s="40" t="n">
        <f aca="false">IF(('ARR Forecast'!D19-'ARR Forecast'!C19)=0,0,MAX(0,-D38)/('ARR Forecast'!D19-'ARR Forecast'!C19))</f>
        <v>1.01351494095238</v>
      </c>
      <c r="E39" s="40" t="n">
        <f aca="false">IF(('ARR Forecast'!E19-'ARR Forecast'!D19)=0,0,MAX(0,-E38)/('ARR Forecast'!E19-'ARR Forecast'!D19))</f>
        <v>0.757433514057143</v>
      </c>
      <c r="F39" s="40" t="n">
        <f aca="false">IF(('ARR Forecast'!F19-'ARR Forecast'!E19)=0,0,MAX(0,-F38)/('ARR Forecast'!F19-'ARR Forecast'!E19))</f>
        <v>0.457238307416999</v>
      </c>
      <c r="G39" s="40" t="n">
        <f aca="false">IF(('ARR Forecast'!G19-'ARR Forecast'!F19)=0,0,MAX(0,-G38)/('ARR Forecast'!G19-'ARR Forecast'!F19))</f>
        <v>0.241088130861349</v>
      </c>
      <c r="H39" s="18" t="s">
        <v>214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2"/>
    <col collapsed="false" customWidth="true" hidden="false" outlineLevel="0" max="8" min="8" style="0" width="88"/>
  </cols>
  <sheetData>
    <row r="1" customFormat="false" ht="19.7" hidden="false" customHeight="false" outlineLevel="0" collapsed="false">
      <c r="A1" s="16" t="s">
        <v>216</v>
      </c>
    </row>
    <row r="2" customFormat="false" ht="15" hidden="false" customHeight="false" outlineLevel="0" collapsed="false">
      <c r="A2" s="17" t="s">
        <v>217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118</v>
      </c>
      <c r="B5" s="22"/>
      <c r="C5" s="22"/>
      <c r="D5" s="22"/>
      <c r="E5" s="22"/>
      <c r="F5" s="22"/>
      <c r="G5" s="22"/>
    </row>
    <row r="6" customFormat="false" ht="15" hidden="false" customHeight="false" outlineLevel="0" collapsed="false">
      <c r="A6" s="1"/>
      <c r="B6" s="36" t="s">
        <v>120</v>
      </c>
      <c r="C6" s="36" t="s">
        <v>121</v>
      </c>
      <c r="D6" s="36" t="s">
        <v>122</v>
      </c>
      <c r="E6" s="36" t="s">
        <v>123</v>
      </c>
      <c r="F6" s="36" t="s">
        <v>124</v>
      </c>
      <c r="G6" s="36" t="s">
        <v>125</v>
      </c>
    </row>
    <row r="7" customFormat="false" ht="15" hidden="false" customHeight="false" outlineLevel="0" collapsed="false">
      <c r="A7" s="23" t="s">
        <v>218</v>
      </c>
      <c r="B7" s="39" t="n">
        <f aca="false">Assumptions!$B$10</f>
        <v>150</v>
      </c>
      <c r="C7" s="25" t="n">
        <f aca="false">B12</f>
        <v>211.299</v>
      </c>
      <c r="D7" s="25" t="n">
        <f aca="false">C12</f>
        <v>1989.67268421053</v>
      </c>
      <c r="E7" s="25" t="n">
        <f aca="false">D12</f>
        <v>13603.2543984962</v>
      </c>
      <c r="F7" s="25" t="n">
        <f aca="false">E12</f>
        <v>9281.29939598196</v>
      </c>
      <c r="G7" s="25" t="n">
        <f aca="false">F12</f>
        <v>3596.57890554636</v>
      </c>
    </row>
    <row r="8" customFormat="false" ht="15" hidden="false" customHeight="false" outlineLevel="0" collapsed="false">
      <c r="A8" s="23" t="s">
        <v>219</v>
      </c>
      <c r="B8" s="24" t="n">
        <v>750</v>
      </c>
      <c r="C8" s="24" t="n">
        <v>4000</v>
      </c>
      <c r="D8" s="24" t="n">
        <v>15000</v>
      </c>
      <c r="E8" s="24" t="n">
        <v>0</v>
      </c>
      <c r="F8" s="24" t="n">
        <v>0</v>
      </c>
      <c r="G8" s="24" t="n">
        <v>60000</v>
      </c>
      <c r="H8" s="18" t="s">
        <v>220</v>
      </c>
    </row>
    <row r="9" customFormat="false" ht="15" hidden="false" customHeight="false" outlineLevel="0" collapsed="false">
      <c r="A9" s="23" t="s">
        <v>221</v>
      </c>
      <c r="B9" s="39" t="n">
        <f aca="false">Assumptions!B18</f>
        <v>0</v>
      </c>
      <c r="C9" s="39" t="n">
        <f aca="false">Assumptions!C18</f>
        <v>400</v>
      </c>
      <c r="D9" s="39" t="n">
        <f aca="false">Assumptions!D18</f>
        <v>600</v>
      </c>
      <c r="E9" s="39" t="n">
        <f aca="false">Assumptions!E18</f>
        <v>700</v>
      </c>
      <c r="F9" s="39" t="n">
        <f aca="false">Assumptions!F18</f>
        <v>0</v>
      </c>
      <c r="G9" s="39" t="n">
        <f aca="false">Assumptions!G18</f>
        <v>0</v>
      </c>
    </row>
    <row r="10" customFormat="false" ht="15" hidden="false" customHeight="false" outlineLevel="0" collapsed="false">
      <c r="A10" s="23" t="s">
        <v>210</v>
      </c>
      <c r="B10" s="39" t="n">
        <f aca="false">'P&amp;L'!B12</f>
        <v>-632.701</v>
      </c>
      <c r="C10" s="39" t="n">
        <f aca="false">'P&amp;L'!C12</f>
        <v>-2491.75789473684</v>
      </c>
      <c r="D10" s="39" t="n">
        <f aca="false">'P&amp;L'!D12</f>
        <v>-3834.63257142857</v>
      </c>
      <c r="E10" s="39" t="n">
        <f aca="false">'P&amp;L'!E12</f>
        <v>-4765.59785965714</v>
      </c>
      <c r="F10" s="39" t="n">
        <f aca="false">'P&amp;L'!F12</f>
        <v>-5276.02386122211</v>
      </c>
      <c r="G10" s="39" t="n">
        <f aca="false">'P&amp;L'!G12</f>
        <v>-4609.5211450368</v>
      </c>
    </row>
    <row r="11" customFormat="false" ht="15" hidden="false" customHeight="false" outlineLevel="0" collapsed="false">
      <c r="A11" s="23" t="s">
        <v>222</v>
      </c>
      <c r="B11" s="39" t="n">
        <f aca="false">-'Budget - CapEx'!B14</f>
        <v>-56</v>
      </c>
      <c r="C11" s="39" t="n">
        <f aca="false">-'Budget - CapEx'!C14</f>
        <v>-129.868421052632</v>
      </c>
      <c r="D11" s="39" t="n">
        <f aca="false">-'Budget - CapEx'!D14</f>
        <v>-151.785714285714</v>
      </c>
      <c r="E11" s="39" t="n">
        <f aca="false">-'Budget - CapEx'!E14</f>
        <v>-256.357142857143</v>
      </c>
      <c r="F11" s="39" t="n">
        <f aca="false">-'Budget - CapEx'!F14</f>
        <v>-408.696629213483</v>
      </c>
      <c r="G11" s="39" t="n">
        <f aca="false">-'Budget - CapEx'!G14</f>
        <v>-360</v>
      </c>
    </row>
    <row r="12" customFormat="false" ht="15" hidden="false" customHeight="false" outlineLevel="0" collapsed="false">
      <c r="A12" s="19" t="s">
        <v>223</v>
      </c>
      <c r="B12" s="37" t="n">
        <f aca="false">SUM(B7:B11)</f>
        <v>211.299</v>
      </c>
      <c r="C12" s="37" t="n">
        <f aca="false">SUM(C7:C11)</f>
        <v>1989.67268421053</v>
      </c>
      <c r="D12" s="37" t="n">
        <f aca="false">SUM(D7:D11)</f>
        <v>13603.2543984962</v>
      </c>
      <c r="E12" s="37" t="n">
        <f aca="false">SUM(E7:E11)</f>
        <v>9281.29939598196</v>
      </c>
      <c r="F12" s="37" t="n">
        <f aca="false">SUM(F7:F11)</f>
        <v>3596.57890554636</v>
      </c>
      <c r="G12" s="37" t="n">
        <f aca="false">SUM(G7:G11)</f>
        <v>58627.0577605096</v>
      </c>
    </row>
    <row r="13" customFormat="false" ht="15" hidden="false" customHeight="false" outlineLevel="0" collapsed="false">
      <c r="A13" s="23" t="s">
        <v>224</v>
      </c>
      <c r="B13" s="33" t="n">
        <f aca="false">IF(C14=0,99,MIN(99,B12/C14))</f>
        <v>0.636056685041437</v>
      </c>
      <c r="C13" s="33" t="n">
        <f aca="false">IF(D14=0,99,MIN(99,C12/D14))</f>
        <v>4.75433814093765</v>
      </c>
      <c r="D13" s="33" t="n">
        <f aca="false">IF(E14=0,99,MIN(99,D12/E14))</f>
        <v>28.7154052792218</v>
      </c>
      <c r="E13" s="33" t="n">
        <f aca="false">IF(F14=0,99,MIN(99,E12/F14))</f>
        <v>22.4117353566384</v>
      </c>
      <c r="F13" s="33" t="n">
        <f aca="false">IF(G14=0,99,MIN(99,F12/G14))</f>
        <v>8.68472949544854</v>
      </c>
      <c r="G13" s="33" t="n">
        <f aca="false">IF(G14=0,99,MIN(99,G12/G14))</f>
        <v>99</v>
      </c>
      <c r="H13" s="18" t="s">
        <v>225</v>
      </c>
    </row>
    <row r="14" customFormat="false" ht="15" hidden="false" customHeight="false" outlineLevel="0" collapsed="false">
      <c r="A14" s="23" t="s">
        <v>226</v>
      </c>
      <c r="B14" s="39" t="n">
        <f aca="false">MAX(0,-'P&amp;L'!C14/12)</f>
        <v>218.468859649123</v>
      </c>
      <c r="C14" s="39" t="n">
        <f aca="false">MAX(0,-'P&amp;L'!D14/12)</f>
        <v>332.201523809524</v>
      </c>
      <c r="D14" s="39" t="n">
        <f aca="false">MAX(0,-'P&amp;L'!E14/12)</f>
        <v>418.496250209524</v>
      </c>
      <c r="E14" s="39" t="n">
        <f aca="false">MAX(0,-'P&amp;L'!F14/12)</f>
        <v>473.7267075363</v>
      </c>
      <c r="F14" s="39" t="n">
        <f aca="false">MAX(0,-'P&amp;L'!G14/12)</f>
        <v>414.1267620864</v>
      </c>
      <c r="G14" s="39" t="n">
        <f aca="false">MAX(0,-'P&amp;L'!G14/12)</f>
        <v>414.1267620864</v>
      </c>
    </row>
    <row r="15" customFormat="false" ht="15" hidden="false" customHeight="false" outlineLevel="0" collapsed="false">
      <c r="A15" s="23" t="s">
        <v>227</v>
      </c>
      <c r="B15" s="41" t="str">
        <f aca="false">IF(B12&lt;Assumptions!$B$9,"BELOW FLOOR — raise/bridge","OK")</f>
        <v>BELOW FLOOR — raise/bridge</v>
      </c>
      <c r="C15" s="41" t="str">
        <f aca="false">IF(C12&lt;Assumptions!$B$9,"BELOW FLOOR — raise/bridge","OK")</f>
        <v>OK</v>
      </c>
      <c r="D15" s="41" t="str">
        <f aca="false">IF(D12&lt;Assumptions!$B$9,"BELOW FLOOR — raise/bridge","OK")</f>
        <v>OK</v>
      </c>
      <c r="E15" s="41" t="str">
        <f aca="false">IF(E12&lt;Assumptions!$B$9,"BELOW FLOOR — raise/bridge","OK")</f>
        <v>OK</v>
      </c>
      <c r="F15" s="41" t="str">
        <f aca="false">IF(F12&lt;Assumptions!$B$9,"BELOW FLOOR — raise/bridge","OK")</f>
        <v>OK</v>
      </c>
      <c r="G15" s="41" t="str">
        <f aca="false">IF(G12&lt;Assumptions!$B$9,"BELOW FLOOR — raise/bridge","OK")</f>
        <v>OK</v>
      </c>
    </row>
    <row r="17" customFormat="false" ht="15" hidden="false" customHeight="false" outlineLevel="0" collapsed="false">
      <c r="A17" s="21" t="s">
        <v>130</v>
      </c>
      <c r="B17" s="22"/>
      <c r="C17" s="22"/>
      <c r="D17" s="22"/>
      <c r="E17" s="22"/>
      <c r="F17" s="22"/>
      <c r="G17" s="22"/>
    </row>
    <row r="18" customFormat="false" ht="15" hidden="false" customHeight="false" outlineLevel="0" collapsed="false">
      <c r="A18" s="1"/>
      <c r="B18" s="36" t="s">
        <v>120</v>
      </c>
      <c r="C18" s="36" t="s">
        <v>121</v>
      </c>
      <c r="D18" s="36" t="s">
        <v>122</v>
      </c>
      <c r="E18" s="36" t="s">
        <v>123</v>
      </c>
      <c r="F18" s="36" t="s">
        <v>124</v>
      </c>
      <c r="G18" s="36" t="s">
        <v>125</v>
      </c>
    </row>
    <row r="19" customFormat="false" ht="15" hidden="false" customHeight="false" outlineLevel="0" collapsed="false">
      <c r="A19" s="23" t="s">
        <v>218</v>
      </c>
      <c r="B19" s="39" t="n">
        <f aca="false">Assumptions!$B$10</f>
        <v>150</v>
      </c>
      <c r="C19" s="25" t="n">
        <f aca="false">B24</f>
        <v>4370.056</v>
      </c>
      <c r="D19" s="25" t="n">
        <f aca="false">C24</f>
        <v>1475.296</v>
      </c>
      <c r="E19" s="25" t="n">
        <f aca="false">D24</f>
        <v>16466.5104</v>
      </c>
      <c r="F19" s="25" t="n">
        <f aca="false">E24</f>
        <v>9987.8758016</v>
      </c>
      <c r="G19" s="25" t="n">
        <f aca="false">F24</f>
        <v>81765.325346816</v>
      </c>
    </row>
    <row r="20" customFormat="false" ht="15" hidden="false" customHeight="false" outlineLevel="0" collapsed="false">
      <c r="A20" s="23" t="s">
        <v>219</v>
      </c>
      <c r="B20" s="24" t="n">
        <v>5000</v>
      </c>
      <c r="C20" s="24" t="n">
        <v>0</v>
      </c>
      <c r="D20" s="24" t="n">
        <v>20000</v>
      </c>
      <c r="E20" s="24" t="n">
        <v>0</v>
      </c>
      <c r="F20" s="24" t="n">
        <v>80000</v>
      </c>
      <c r="G20" s="24" t="n">
        <v>0</v>
      </c>
      <c r="H20" s="18" t="s">
        <v>220</v>
      </c>
    </row>
    <row r="21" customFormat="false" ht="15" hidden="false" customHeight="false" outlineLevel="0" collapsed="false">
      <c r="A21" s="23" t="s">
        <v>221</v>
      </c>
      <c r="B21" s="39" t="n">
        <f aca="false">Assumptions!B19</f>
        <v>0</v>
      </c>
      <c r="C21" s="39" t="n">
        <f aca="false">Assumptions!C19</f>
        <v>600</v>
      </c>
      <c r="D21" s="39" t="n">
        <f aca="false">Assumptions!D19</f>
        <v>800</v>
      </c>
      <c r="E21" s="39" t="n">
        <f aca="false">Assumptions!E19</f>
        <v>900</v>
      </c>
      <c r="F21" s="39" t="n">
        <f aca="false">Assumptions!F19</f>
        <v>0</v>
      </c>
      <c r="G21" s="39" t="n">
        <f aca="false">Assumptions!G19</f>
        <v>0</v>
      </c>
    </row>
    <row r="22" customFormat="false" ht="15" hidden="false" customHeight="false" outlineLevel="0" collapsed="false">
      <c r="A22" s="23" t="s">
        <v>210</v>
      </c>
      <c r="B22" s="39" t="n">
        <f aca="false">'P&amp;L'!B24</f>
        <v>-715.944</v>
      </c>
      <c r="C22" s="39" t="n">
        <f aca="false">'P&amp;L'!C24</f>
        <v>-3330.26</v>
      </c>
      <c r="D22" s="39" t="n">
        <f aca="false">'P&amp;L'!D24</f>
        <v>-5596.2856</v>
      </c>
      <c r="E22" s="39" t="n">
        <f aca="false">'P&amp;L'!E24</f>
        <v>-6990.6345984</v>
      </c>
      <c r="F22" s="39" t="n">
        <f aca="false">'P&amp;L'!F24</f>
        <v>-7523.050454784</v>
      </c>
      <c r="G22" s="39" t="n">
        <f aca="false">'P&amp;L'!G24</f>
        <v>-9039.0422900736</v>
      </c>
    </row>
    <row r="23" customFormat="false" ht="15" hidden="false" customHeight="false" outlineLevel="0" collapsed="false">
      <c r="A23" s="23" t="s">
        <v>222</v>
      </c>
      <c r="B23" s="39" t="n">
        <f aca="false">-'Budget - CapEx'!B11</f>
        <v>-64</v>
      </c>
      <c r="C23" s="39" t="n">
        <f aca="false">-'Budget - CapEx'!C11</f>
        <v>-164.5</v>
      </c>
      <c r="D23" s="39" t="n">
        <f aca="false">-'Budget - CapEx'!D11</f>
        <v>-212.5</v>
      </c>
      <c r="E23" s="39" t="n">
        <f aca="false">-'Budget - CapEx'!E11</f>
        <v>-388</v>
      </c>
      <c r="F23" s="39" t="n">
        <f aca="false">-'Budget - CapEx'!F11</f>
        <v>-699.5</v>
      </c>
      <c r="G23" s="39" t="n">
        <f aca="false">-'Budget - CapEx'!G11</f>
        <v>-720</v>
      </c>
    </row>
    <row r="24" customFormat="false" ht="15" hidden="false" customHeight="false" outlineLevel="0" collapsed="false">
      <c r="A24" s="19" t="s">
        <v>223</v>
      </c>
      <c r="B24" s="37" t="n">
        <f aca="false">SUM(B19:B23)</f>
        <v>4370.056</v>
      </c>
      <c r="C24" s="37" t="n">
        <f aca="false">SUM(C19:C23)</f>
        <v>1475.296</v>
      </c>
      <c r="D24" s="37" t="n">
        <f aca="false">SUM(D19:D23)</f>
        <v>16466.5104</v>
      </c>
      <c r="E24" s="37" t="n">
        <f aca="false">SUM(E19:E23)</f>
        <v>9987.8758016</v>
      </c>
      <c r="F24" s="37" t="n">
        <f aca="false">SUM(F19:F23)</f>
        <v>81765.325346816</v>
      </c>
      <c r="G24" s="37" t="n">
        <f aca="false">SUM(G19:G23)</f>
        <v>72006.2830567424</v>
      </c>
    </row>
    <row r="25" customFormat="false" ht="15" hidden="false" customHeight="false" outlineLevel="0" collapsed="false">
      <c r="A25" s="23" t="s">
        <v>224</v>
      </c>
      <c r="B25" s="33" t="n">
        <f aca="false">IF(C26=0,99,MIN(99,B24/C26))</f>
        <v>9.02782020393385</v>
      </c>
      <c r="C25" s="33" t="n">
        <f aca="false">IF(D26=0,99,MIN(99,C24/D26))</f>
        <v>2.39929918793362</v>
      </c>
      <c r="D25" s="33" t="n">
        <f aca="false">IF(E26=0,99,MIN(99,D24/E26))</f>
        <v>24.0312450360258</v>
      </c>
      <c r="E25" s="33" t="n">
        <f aca="false">IF(F26=0,99,MIN(99,E24/F26))</f>
        <v>12.2813802888332</v>
      </c>
      <c r="F25" s="33" t="n">
        <f aca="false">IF(G26=0,99,MIN(99,F24/G26))</f>
        <v>99</v>
      </c>
      <c r="G25" s="33" t="n">
        <f aca="false">IF(G26=0,99,MIN(99,G24/G26))</f>
        <v>88.5410034097098</v>
      </c>
      <c r="H25" s="18" t="s">
        <v>225</v>
      </c>
    </row>
    <row r="26" customFormat="false" ht="15" hidden="false" customHeight="false" outlineLevel="0" collapsed="false">
      <c r="A26" s="23" t="s">
        <v>226</v>
      </c>
      <c r="B26" s="39" t="n">
        <f aca="false">MAX(0,-'P&amp;L'!C26/12)</f>
        <v>291.23</v>
      </c>
      <c r="C26" s="39" t="n">
        <f aca="false">MAX(0,-'P&amp;L'!D26/12)</f>
        <v>484.065466666667</v>
      </c>
      <c r="D26" s="39" t="n">
        <f aca="false">MAX(0,-'P&amp;L'!E26/12)</f>
        <v>614.886216533334</v>
      </c>
      <c r="E26" s="39" t="n">
        <f aca="false">MAX(0,-'P&amp;L'!F26/12)</f>
        <v>685.212537898667</v>
      </c>
      <c r="F26" s="39" t="n">
        <f aca="false">MAX(0,-'P&amp;L'!G26/12)</f>
        <v>813.2535241728</v>
      </c>
      <c r="G26" s="39" t="n">
        <f aca="false">MAX(0,-'P&amp;L'!G26/12)</f>
        <v>813.2535241728</v>
      </c>
    </row>
    <row r="27" customFormat="false" ht="15" hidden="false" customHeight="false" outlineLevel="0" collapsed="false">
      <c r="A27" s="23" t="s">
        <v>227</v>
      </c>
      <c r="B27" s="41" t="str">
        <f aca="false">IF(B24&lt;Assumptions!$B$9,"BELOW FLOOR — raise/bridge","OK")</f>
        <v>OK</v>
      </c>
      <c r="C27" s="41" t="str">
        <f aca="false">IF(C24&lt;Assumptions!$B$9,"BELOW FLOOR — raise/bridge","OK")</f>
        <v>BELOW FLOOR — raise/bridge</v>
      </c>
      <c r="D27" s="41" t="str">
        <f aca="false">IF(D24&lt;Assumptions!$B$9,"BELOW FLOOR — raise/bridge","OK")</f>
        <v>OK</v>
      </c>
      <c r="E27" s="41" t="str">
        <f aca="false">IF(E24&lt;Assumptions!$B$9,"BELOW FLOOR — raise/bridge","OK")</f>
        <v>OK</v>
      </c>
      <c r="F27" s="41" t="str">
        <f aca="false">IF(F24&lt;Assumptions!$B$9,"BELOW FLOOR — raise/bridge","OK")</f>
        <v>OK</v>
      </c>
      <c r="G27" s="41" t="str">
        <f aca="false">IF(G24&lt;Assumptions!$B$9,"BELOW FLOOR — raise/bridge","OK")</f>
        <v>OK</v>
      </c>
    </row>
    <row r="29" customFormat="false" ht="15" hidden="false" customHeight="false" outlineLevel="0" collapsed="false">
      <c r="A29" s="21" t="s">
        <v>132</v>
      </c>
      <c r="B29" s="22"/>
      <c r="C29" s="22"/>
      <c r="D29" s="22"/>
      <c r="E29" s="22"/>
      <c r="F29" s="22"/>
      <c r="G29" s="22"/>
    </row>
    <row r="30" customFormat="false" ht="15" hidden="false" customHeight="false" outlineLevel="0" collapsed="false">
      <c r="A30" s="1"/>
      <c r="B30" s="36" t="s">
        <v>120</v>
      </c>
      <c r="C30" s="36" t="s">
        <v>121</v>
      </c>
      <c r="D30" s="36" t="s">
        <v>122</v>
      </c>
      <c r="E30" s="36" t="s">
        <v>123</v>
      </c>
      <c r="F30" s="36" t="s">
        <v>124</v>
      </c>
      <c r="G30" s="36" t="s">
        <v>125</v>
      </c>
    </row>
    <row r="31" customFormat="false" ht="15" hidden="false" customHeight="false" outlineLevel="0" collapsed="false">
      <c r="A31" s="23" t="s">
        <v>218</v>
      </c>
      <c r="B31" s="39" t="n">
        <f aca="false">Assumptions!$B$10</f>
        <v>150</v>
      </c>
      <c r="C31" s="25" t="n">
        <f aca="false">B36</f>
        <v>6279.313</v>
      </c>
      <c r="D31" s="25" t="n">
        <f aca="false">C36</f>
        <v>31111.1693157895</v>
      </c>
      <c r="E31" s="25" t="n">
        <f aca="false">D36</f>
        <v>25930.0796700752</v>
      </c>
      <c r="F31" s="25" t="n">
        <f aca="false">E36</f>
        <v>118355.744529504</v>
      </c>
      <c r="G31" s="25" t="n">
        <f aca="false">F36</f>
        <v>110582.693303415</v>
      </c>
    </row>
    <row r="32" customFormat="false" ht="15" hidden="false" customHeight="false" outlineLevel="0" collapsed="false">
      <c r="A32" s="23" t="s">
        <v>219</v>
      </c>
      <c r="B32" s="24" t="n">
        <v>7000</v>
      </c>
      <c r="C32" s="24" t="n">
        <v>28000</v>
      </c>
      <c r="D32" s="24" t="n">
        <v>0</v>
      </c>
      <c r="E32" s="24" t="n">
        <v>100000</v>
      </c>
      <c r="F32" s="24" t="n">
        <v>0</v>
      </c>
      <c r="G32" s="24" t="n">
        <v>150000</v>
      </c>
      <c r="H32" s="18" t="s">
        <v>220</v>
      </c>
    </row>
    <row r="33" customFormat="false" ht="15" hidden="false" customHeight="false" outlineLevel="0" collapsed="false">
      <c r="A33" s="23" t="s">
        <v>221</v>
      </c>
      <c r="B33" s="39" t="n">
        <f aca="false">Assumptions!B20</f>
        <v>0</v>
      </c>
      <c r="C33" s="39" t="n">
        <f aca="false">Assumptions!C20</f>
        <v>700</v>
      </c>
      <c r="D33" s="39" t="n">
        <f aca="false">Assumptions!D20</f>
        <v>900</v>
      </c>
      <c r="E33" s="39" t="n">
        <f aca="false">Assumptions!E20</f>
        <v>0</v>
      </c>
      <c r="F33" s="39" t="n">
        <f aca="false">Assumptions!F20</f>
        <v>0</v>
      </c>
      <c r="G33" s="39" t="n">
        <f aca="false">Assumptions!G20</f>
        <v>0</v>
      </c>
    </row>
    <row r="34" customFormat="false" ht="15" hidden="false" customHeight="false" outlineLevel="0" collapsed="false">
      <c r="A34" s="23" t="s">
        <v>210</v>
      </c>
      <c r="B34" s="39" t="n">
        <f aca="false">'P&amp;L'!B36</f>
        <v>-798.687</v>
      </c>
      <c r="C34" s="39" t="n">
        <f aca="false">'P&amp;L'!C36</f>
        <v>-3669.01210526316</v>
      </c>
      <c r="D34" s="39" t="n">
        <f aca="false">'P&amp;L'!D36</f>
        <v>-5801.80393142857</v>
      </c>
      <c r="E34" s="39" t="n">
        <f aca="false">'P&amp;L'!E36</f>
        <v>-7020.04942628571</v>
      </c>
      <c r="F34" s="39" t="n">
        <f aca="false">'P&amp;L'!F36</f>
        <v>-6751.30965305528</v>
      </c>
      <c r="G34" s="39" t="n">
        <f aca="false">'P&amp;L'!G36</f>
        <v>-4998.63184296229</v>
      </c>
    </row>
    <row r="35" customFormat="false" ht="15" hidden="false" customHeight="false" outlineLevel="0" collapsed="false">
      <c r="A35" s="23" t="s">
        <v>222</v>
      </c>
      <c r="B35" s="39" t="n">
        <f aca="false">-'Budget - CapEx'!B15</f>
        <v>-72</v>
      </c>
      <c r="C35" s="39" t="n">
        <f aca="false">-'Budget - CapEx'!C15</f>
        <v>-199.131578947368</v>
      </c>
      <c r="D35" s="39" t="n">
        <f aca="false">-'Budget - CapEx'!D15</f>
        <v>-279.285714285714</v>
      </c>
      <c r="E35" s="39" t="n">
        <f aca="false">-'Budget - CapEx'!E15</f>
        <v>-554.285714285714</v>
      </c>
      <c r="F35" s="39" t="n">
        <f aca="false">-'Budget - CapEx'!F15</f>
        <v>-1021.74157303371</v>
      </c>
      <c r="G35" s="39" t="n">
        <f aca="false">-'Budget - CapEx'!G15</f>
        <v>-1028.57142857143</v>
      </c>
    </row>
    <row r="36" customFormat="false" ht="15" hidden="false" customHeight="false" outlineLevel="0" collapsed="false">
      <c r="A36" s="19" t="s">
        <v>223</v>
      </c>
      <c r="B36" s="37" t="n">
        <f aca="false">SUM(B31:B35)</f>
        <v>6279.313</v>
      </c>
      <c r="C36" s="37" t="n">
        <f aca="false">SUM(C31:C35)</f>
        <v>31111.1693157895</v>
      </c>
      <c r="D36" s="37" t="n">
        <f aca="false">SUM(D31:D35)</f>
        <v>25930.0796700752</v>
      </c>
      <c r="E36" s="37" t="n">
        <f aca="false">SUM(E31:E35)</f>
        <v>118355.744529504</v>
      </c>
      <c r="F36" s="37" t="n">
        <f aca="false">SUM(F31:F35)</f>
        <v>110582.693303415</v>
      </c>
      <c r="G36" s="37" t="n">
        <f aca="false">SUM(G31:G35)</f>
        <v>254555.490031881</v>
      </c>
    </row>
    <row r="37" customFormat="false" ht="15" hidden="false" customHeight="false" outlineLevel="0" collapsed="false">
      <c r="A37" s="23" t="s">
        <v>224</v>
      </c>
      <c r="B37" s="33" t="n">
        <f aca="false">IF(C38=0,99,MIN(99,B36/C38))</f>
        <v>12.3911602015446</v>
      </c>
      <c r="C37" s="33" t="n">
        <f aca="false">IF(D38=0,99,MIN(99,C36/D38))</f>
        <v>49.2893468351743</v>
      </c>
      <c r="D37" s="33" t="n">
        <f aca="false">IF(E38=0,99,MIN(99,D36/E38))</f>
        <v>40.0307352917656</v>
      </c>
      <c r="E37" s="33" t="n">
        <f aca="false">IF(F38=0,99,MIN(99,E36/F38))</f>
        <v>99</v>
      </c>
      <c r="F37" s="33" t="n">
        <f aca="false">IF(G38=0,99,MIN(99,F36/G38))</f>
        <v>99</v>
      </c>
      <c r="G37" s="33" t="n">
        <f aca="false">IF(G38=0,99,MIN(99,G36/G38))</f>
        <v>99</v>
      </c>
      <c r="H37" s="18" t="s">
        <v>225</v>
      </c>
    </row>
    <row r="38" customFormat="false" ht="15" hidden="false" customHeight="false" outlineLevel="0" collapsed="false">
      <c r="A38" s="23" t="s">
        <v>226</v>
      </c>
      <c r="B38" s="39" t="n">
        <f aca="false">MAX(0,-'P&amp;L'!C38/12)</f>
        <v>322.345307017544</v>
      </c>
      <c r="C38" s="39" t="n">
        <f aca="false">MAX(0,-'P&amp;L'!D38/12)</f>
        <v>506.757470476191</v>
      </c>
      <c r="D38" s="39" t="n">
        <f aca="false">MAX(0,-'P&amp;L'!E38/12)</f>
        <v>631.194595047619</v>
      </c>
      <c r="E38" s="39" t="n">
        <f aca="false">MAX(0,-'P&amp;L'!F38/12)</f>
        <v>647.754268840749</v>
      </c>
      <c r="F38" s="39" t="n">
        <f aca="false">MAX(0,-'P&amp;L'!G38/12)</f>
        <v>502.266939294477</v>
      </c>
      <c r="G38" s="39" t="n">
        <f aca="false">MAX(0,-'P&amp;L'!G38/12)</f>
        <v>502.266939294477</v>
      </c>
    </row>
    <row r="39" customFormat="false" ht="15" hidden="false" customHeight="false" outlineLevel="0" collapsed="false">
      <c r="A39" s="23" t="s">
        <v>227</v>
      </c>
      <c r="B39" s="41" t="str">
        <f aca="false">IF(B36&lt;Assumptions!$B$9,"BELOW FLOOR — raise/bridge","OK")</f>
        <v>OK</v>
      </c>
      <c r="C39" s="41" t="str">
        <f aca="false">IF(C36&lt;Assumptions!$B$9,"BELOW FLOOR — raise/bridge","OK")</f>
        <v>OK</v>
      </c>
      <c r="D39" s="41" t="str">
        <f aca="false">IF(D36&lt;Assumptions!$B$9,"BELOW FLOOR — raise/bridge","OK")</f>
        <v>OK</v>
      </c>
      <c r="E39" s="41" t="str">
        <f aca="false">IF(E36&lt;Assumptions!$B$9,"BELOW FLOOR — raise/bridge","OK")</f>
        <v>OK</v>
      </c>
      <c r="F39" s="41" t="str">
        <f aca="false">IF(F36&lt;Assumptions!$B$9,"BELOW FLOOR — raise/bridge","OK")</f>
        <v>OK</v>
      </c>
      <c r="G39" s="41" t="str">
        <f aca="false">IF(G36&lt;Assumptions!$B$9,"BELOW FLOOR — raise/bridge","OK")</f>
        <v>OK</v>
      </c>
    </row>
    <row r="41" customFormat="false" ht="15" hidden="false" customHeight="false" outlineLevel="0" collapsed="false">
      <c r="A41" s="18" t="s">
        <v>228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20"/>
    <col collapsed="false" customWidth="true" hidden="false" outlineLevel="0" max="5" min="5" style="0" width="88"/>
  </cols>
  <sheetData>
    <row r="1" customFormat="false" ht="19.7" hidden="false" customHeight="false" outlineLevel="0" collapsed="false">
      <c r="A1" s="16" t="s">
        <v>229</v>
      </c>
    </row>
    <row r="2" customFormat="false" ht="15" hidden="false" customHeight="false" outlineLevel="0" collapsed="false">
      <c r="A2" s="17" t="s">
        <v>230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231</v>
      </c>
      <c r="B5" s="22"/>
      <c r="C5" s="22"/>
      <c r="D5" s="22"/>
      <c r="E5" s="22"/>
    </row>
    <row r="6" customFormat="false" ht="15" hidden="false" customHeight="false" outlineLevel="0" collapsed="false">
      <c r="A6" s="31"/>
      <c r="B6" s="31" t="s">
        <v>56</v>
      </c>
      <c r="C6" s="31" t="s">
        <v>57</v>
      </c>
      <c r="D6" s="31" t="s">
        <v>59</v>
      </c>
      <c r="E6" s="31" t="s">
        <v>232</v>
      </c>
    </row>
    <row r="7" customFormat="false" ht="15" hidden="false" customHeight="false" outlineLevel="0" collapsed="false">
      <c r="A7" s="23" t="s">
        <v>233</v>
      </c>
      <c r="B7" s="30" t="n">
        <v>500</v>
      </c>
      <c r="C7" s="30" t="n">
        <v>1000</v>
      </c>
      <c r="D7" s="30" t="n">
        <v>2400</v>
      </c>
      <c r="E7" s="18" t="s">
        <v>234</v>
      </c>
    </row>
    <row r="8" customFormat="false" ht="15" hidden="false" customHeight="false" outlineLevel="0" collapsed="false">
      <c r="A8" s="23" t="s">
        <v>235</v>
      </c>
      <c r="B8" s="29" t="n">
        <f aca="false">Assumptions!C23</f>
        <v>30</v>
      </c>
      <c r="C8" s="29" t="n">
        <f aca="false">Assumptions!C23</f>
        <v>30</v>
      </c>
      <c r="D8" s="29" t="n">
        <f aca="false">Assumptions!D23</f>
        <v>35</v>
      </c>
      <c r="E8" s="18" t="s">
        <v>236</v>
      </c>
    </row>
    <row r="9" customFormat="false" ht="15" hidden="false" customHeight="false" outlineLevel="0" collapsed="false">
      <c r="A9" s="23" t="s">
        <v>237</v>
      </c>
      <c r="B9" s="33" t="n">
        <f aca="false">B7/B8</f>
        <v>16.6666666666667</v>
      </c>
      <c r="C9" s="33" t="n">
        <f aca="false">C7/C8</f>
        <v>33.3333333333333</v>
      </c>
      <c r="D9" s="33" t="n">
        <f aca="false">D7/D8</f>
        <v>68.5714285714286</v>
      </c>
      <c r="E9" s="18" t="s">
        <v>238</v>
      </c>
    </row>
    <row r="11" customFormat="false" ht="15" hidden="false" customHeight="false" outlineLevel="0" collapsed="false">
      <c r="A11" s="21" t="s">
        <v>239</v>
      </c>
      <c r="B11" s="22"/>
      <c r="C11" s="22"/>
      <c r="D11" s="22"/>
      <c r="E11" s="22"/>
    </row>
    <row r="12" customFormat="false" ht="15" hidden="false" customHeight="false" outlineLevel="0" collapsed="false">
      <c r="A12" s="31"/>
      <c r="B12" s="31" t="s">
        <v>56</v>
      </c>
      <c r="C12" s="31" t="s">
        <v>57</v>
      </c>
      <c r="D12" s="31" t="s">
        <v>59</v>
      </c>
      <c r="E12" s="31" t="s">
        <v>232</v>
      </c>
    </row>
    <row r="13" customFormat="false" ht="15" hidden="false" customHeight="false" outlineLevel="0" collapsed="false">
      <c r="A13" s="23" t="s">
        <v>240</v>
      </c>
      <c r="B13" s="30" t="n">
        <v>0.05</v>
      </c>
      <c r="C13" s="30" t="n">
        <v>0.1</v>
      </c>
      <c r="D13" s="30" t="n">
        <v>0.3</v>
      </c>
      <c r="E13" s="18" t="s">
        <v>241</v>
      </c>
    </row>
    <row r="14" customFormat="false" ht="15" hidden="false" customHeight="false" outlineLevel="0" collapsed="false">
      <c r="A14" s="23" t="s">
        <v>242</v>
      </c>
      <c r="B14" s="24" t="n">
        <v>5</v>
      </c>
      <c r="C14" s="24" t="n">
        <v>15</v>
      </c>
      <c r="D14" s="24" t="n">
        <v>30</v>
      </c>
    </row>
    <row r="15" customFormat="false" ht="15" hidden="false" customHeight="false" outlineLevel="0" collapsed="false">
      <c r="A15" s="23" t="s">
        <v>243</v>
      </c>
      <c r="B15" s="24" t="n">
        <v>2</v>
      </c>
      <c r="C15" s="24" t="n">
        <v>3</v>
      </c>
      <c r="D15" s="24" t="n">
        <v>5</v>
      </c>
      <c r="E15" s="18" t="s">
        <v>244</v>
      </c>
    </row>
    <row r="16" customFormat="false" ht="15" hidden="false" customHeight="false" outlineLevel="0" collapsed="false">
      <c r="A16" s="23" t="s">
        <v>245</v>
      </c>
      <c r="B16" s="24" t="n">
        <v>1000</v>
      </c>
      <c r="C16" s="24" t="n">
        <v>2000</v>
      </c>
      <c r="D16" s="24" t="n">
        <v>4000</v>
      </c>
      <c r="E16" s="18" t="s">
        <v>246</v>
      </c>
    </row>
    <row r="17" customFormat="false" ht="15" hidden="false" customHeight="false" outlineLevel="0" collapsed="false">
      <c r="A17" s="23" t="s">
        <v>247</v>
      </c>
      <c r="B17" s="24" t="n">
        <v>5</v>
      </c>
      <c r="C17" s="24" t="n">
        <v>6</v>
      </c>
      <c r="D17" s="24" t="n">
        <v>7</v>
      </c>
    </row>
    <row r="18" customFormat="false" ht="15" hidden="false" customHeight="false" outlineLevel="0" collapsed="false">
      <c r="A18" s="23" t="s">
        <v>248</v>
      </c>
      <c r="B18" s="42" t="s">
        <v>249</v>
      </c>
      <c r="C18" s="42" t="s">
        <v>250</v>
      </c>
      <c r="D18" s="42" t="s">
        <v>251</v>
      </c>
    </row>
    <row r="20" customFormat="false" ht="15" hidden="false" customHeight="false" outlineLevel="0" collapsed="false">
      <c r="A20" s="21" t="s">
        <v>252</v>
      </c>
      <c r="B20" s="22"/>
      <c r="C20" s="22"/>
      <c r="D20" s="22"/>
      <c r="E20" s="22"/>
    </row>
    <row r="21" customFormat="false" ht="15" hidden="false" customHeight="false" outlineLevel="0" collapsed="false">
      <c r="A21" s="31"/>
      <c r="B21" s="31" t="s">
        <v>56</v>
      </c>
      <c r="C21" s="31" t="s">
        <v>57</v>
      </c>
      <c r="D21" s="31" t="s">
        <v>59</v>
      </c>
      <c r="E21" s="31" t="s">
        <v>232</v>
      </c>
    </row>
    <row r="22" customFormat="false" ht="15" hidden="false" customHeight="false" outlineLevel="0" collapsed="false">
      <c r="A22" s="23" t="s">
        <v>240</v>
      </c>
      <c r="B22" s="30" t="n">
        <v>2</v>
      </c>
      <c r="C22" s="30" t="n">
        <v>4</v>
      </c>
      <c r="D22" s="30" t="n">
        <v>6</v>
      </c>
      <c r="E22" s="18" t="s">
        <v>253</v>
      </c>
    </row>
    <row r="23" customFormat="false" ht="15" hidden="false" customHeight="false" outlineLevel="0" collapsed="false">
      <c r="A23" s="23" t="s">
        <v>254</v>
      </c>
      <c r="B23" s="24" t="n">
        <v>250</v>
      </c>
      <c r="C23" s="24" t="n">
        <v>500</v>
      </c>
      <c r="D23" s="24" t="n">
        <v>900</v>
      </c>
    </row>
    <row r="24" customFormat="false" ht="15" hidden="false" customHeight="false" outlineLevel="0" collapsed="false">
      <c r="A24" s="23" t="s">
        <v>255</v>
      </c>
      <c r="B24" s="24" t="n">
        <v>8</v>
      </c>
      <c r="C24" s="24" t="n">
        <v>12</v>
      </c>
      <c r="D24" s="24" t="n">
        <v>20</v>
      </c>
      <c r="E24" s="18" t="s">
        <v>256</v>
      </c>
    </row>
    <row r="25" customFormat="false" ht="15" hidden="false" customHeight="false" outlineLevel="0" collapsed="false">
      <c r="A25" s="23" t="s">
        <v>245</v>
      </c>
      <c r="B25" s="24" t="n">
        <v>4000</v>
      </c>
      <c r="C25" s="24" t="n">
        <v>6000</v>
      </c>
      <c r="D25" s="24" t="n">
        <v>12000</v>
      </c>
    </row>
    <row r="26" customFormat="false" ht="15" hidden="false" customHeight="false" outlineLevel="0" collapsed="false">
      <c r="A26" s="23" t="s">
        <v>247</v>
      </c>
      <c r="B26" s="24" t="n">
        <v>14</v>
      </c>
      <c r="C26" s="24" t="n">
        <v>20</v>
      </c>
      <c r="D26" s="24" t="n">
        <v>30</v>
      </c>
      <c r="E26" s="18" t="s">
        <v>257</v>
      </c>
    </row>
    <row r="27" customFormat="false" ht="15" hidden="false" customHeight="false" outlineLevel="0" collapsed="false">
      <c r="A27" s="23" t="s">
        <v>248</v>
      </c>
      <c r="B27" s="42" t="s">
        <v>258</v>
      </c>
      <c r="C27" s="42" t="s">
        <v>259</v>
      </c>
      <c r="D27" s="42" t="s">
        <v>260</v>
      </c>
    </row>
    <row r="29" customFormat="false" ht="15" hidden="false" customHeight="false" outlineLevel="0" collapsed="false">
      <c r="A29" s="21" t="s">
        <v>261</v>
      </c>
      <c r="B29" s="22"/>
      <c r="C29" s="22"/>
      <c r="D29" s="22"/>
      <c r="E29" s="22"/>
    </row>
    <row r="30" customFormat="false" ht="15" hidden="false" customHeight="false" outlineLevel="0" collapsed="false">
      <c r="A30" s="31"/>
      <c r="B30" s="31" t="s">
        <v>56</v>
      </c>
      <c r="C30" s="31" t="s">
        <v>57</v>
      </c>
      <c r="D30" s="31" t="s">
        <v>59</v>
      </c>
      <c r="E30" s="31" t="s">
        <v>232</v>
      </c>
    </row>
    <row r="31" customFormat="false" ht="15" hidden="false" customHeight="false" outlineLevel="0" collapsed="false">
      <c r="A31" s="23" t="s">
        <v>240</v>
      </c>
      <c r="B31" s="30" t="n">
        <v>15</v>
      </c>
      <c r="C31" s="30" t="n">
        <v>20</v>
      </c>
      <c r="D31" s="30" t="n">
        <v>33</v>
      </c>
      <c r="E31" s="18" t="s">
        <v>262</v>
      </c>
    </row>
    <row r="32" customFormat="false" ht="15" hidden="false" customHeight="false" outlineLevel="0" collapsed="false">
      <c r="A32" s="23" t="s">
        <v>254</v>
      </c>
      <c r="B32" s="24" t="n">
        <v>2500</v>
      </c>
      <c r="C32" s="24" t="n">
        <v>4000</v>
      </c>
      <c r="D32" s="24" t="n">
        <v>8000</v>
      </c>
    </row>
    <row r="33" customFormat="false" ht="15" hidden="false" customHeight="false" outlineLevel="0" collapsed="false">
      <c r="A33" s="23" t="s">
        <v>263</v>
      </c>
      <c r="B33" s="24" t="n">
        <v>20</v>
      </c>
      <c r="C33" s="24" t="n">
        <v>35</v>
      </c>
      <c r="D33" s="24" t="n">
        <v>60</v>
      </c>
      <c r="E33" s="18" t="s">
        <v>264</v>
      </c>
    </row>
    <row r="34" customFormat="false" ht="15" hidden="false" customHeight="false" outlineLevel="0" collapsed="false">
      <c r="A34" s="23" t="s">
        <v>245</v>
      </c>
      <c r="B34" s="24" t="n">
        <v>15000</v>
      </c>
      <c r="C34" s="24" t="n">
        <v>25000</v>
      </c>
      <c r="D34" s="24" t="n">
        <v>40000</v>
      </c>
    </row>
    <row r="35" customFormat="false" ht="15" hidden="false" customHeight="false" outlineLevel="0" collapsed="false">
      <c r="A35" s="23" t="s">
        <v>247</v>
      </c>
      <c r="B35" s="24" t="n">
        <v>30</v>
      </c>
      <c r="C35" s="24" t="n">
        <v>55</v>
      </c>
      <c r="D35" s="24" t="n">
        <v>80</v>
      </c>
      <c r="E35" s="18" t="s">
        <v>265</v>
      </c>
    </row>
    <row r="36" customFormat="false" ht="15" hidden="false" customHeight="false" outlineLevel="0" collapsed="false">
      <c r="A36" s="23" t="s">
        <v>248</v>
      </c>
      <c r="B36" s="42" t="s">
        <v>266</v>
      </c>
      <c r="C36" s="42" t="s">
        <v>267</v>
      </c>
      <c r="D36" s="42" t="s">
        <v>268</v>
      </c>
    </row>
    <row r="38" customFormat="false" ht="15" hidden="false" customHeight="false" outlineLevel="0" collapsed="false">
      <c r="A38" s="18" t="s">
        <v>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13"/>
    <col collapsed="false" customWidth="true" hidden="false" outlineLevel="0" max="9" min="9" style="0" width="70"/>
  </cols>
  <sheetData>
    <row r="1" customFormat="false" ht="19.7" hidden="false" customHeight="false" outlineLevel="0" collapsed="false">
      <c r="A1" s="16" t="s">
        <v>270</v>
      </c>
    </row>
    <row r="2" customFormat="false" ht="15" hidden="false" customHeight="false" outlineLevel="0" collapsed="false">
      <c r="A2" s="17" t="s">
        <v>271</v>
      </c>
    </row>
    <row r="3" customFormat="false" ht="15" hidden="false" customHeight="false" outlineLevel="0" collapsed="false">
      <c r="A3" s="18" t="s">
        <v>25</v>
      </c>
    </row>
    <row r="5" customFormat="false" ht="15" hidden="false" customHeight="false" outlineLevel="0" collapsed="false">
      <c r="A5" s="21" t="s">
        <v>272</v>
      </c>
      <c r="B5" s="22"/>
      <c r="C5" s="22"/>
      <c r="D5" s="22"/>
      <c r="E5" s="22"/>
      <c r="F5" s="22"/>
      <c r="G5" s="22"/>
      <c r="H5" s="22"/>
    </row>
    <row r="6" customFormat="false" ht="15" hidden="false" customHeight="false" outlineLevel="0" collapsed="false">
      <c r="A6" s="19" t="s">
        <v>273</v>
      </c>
      <c r="B6" s="43" t="n">
        <v>20</v>
      </c>
      <c r="C6" s="43" t="n">
        <v>25</v>
      </c>
      <c r="D6" s="43" t="n">
        <v>30</v>
      </c>
      <c r="E6" s="43" t="n">
        <v>35</v>
      </c>
      <c r="F6" s="43" t="n">
        <v>40</v>
      </c>
    </row>
    <row r="7" customFormat="false" ht="15" hidden="false" customHeight="false" outlineLevel="0" collapsed="false">
      <c r="A7" s="30" t="n">
        <v>12</v>
      </c>
      <c r="B7" s="25" t="n">
        <f aca="false">$A7*B$6</f>
        <v>240</v>
      </c>
      <c r="C7" s="25" t="n">
        <f aca="false">$A7*C$6</f>
        <v>300</v>
      </c>
      <c r="D7" s="25" t="n">
        <f aca="false">$A7*D$6</f>
        <v>360</v>
      </c>
      <c r="E7" s="25" t="n">
        <f aca="false">$A7*E$6</f>
        <v>420</v>
      </c>
      <c r="F7" s="25" t="n">
        <f aca="false">$A7*F$6</f>
        <v>480</v>
      </c>
    </row>
    <row r="8" customFormat="false" ht="15" hidden="false" customHeight="false" outlineLevel="0" collapsed="false">
      <c r="A8" s="30" t="n">
        <v>17</v>
      </c>
      <c r="B8" s="25" t="n">
        <f aca="false">$A8*B$6</f>
        <v>340</v>
      </c>
      <c r="C8" s="25" t="n">
        <f aca="false">$A8*C$6</f>
        <v>425</v>
      </c>
      <c r="D8" s="25" t="n">
        <f aca="false">$A8*D$6</f>
        <v>510</v>
      </c>
      <c r="E8" s="25" t="n">
        <f aca="false">$A8*E$6</f>
        <v>595</v>
      </c>
      <c r="F8" s="25" t="n">
        <f aca="false">$A8*F$6</f>
        <v>680</v>
      </c>
    </row>
    <row r="9" customFormat="false" ht="15" hidden="false" customHeight="false" outlineLevel="0" collapsed="false">
      <c r="A9" s="30" t="n">
        <v>20</v>
      </c>
      <c r="B9" s="25" t="n">
        <f aca="false">$A9*B$6</f>
        <v>400</v>
      </c>
      <c r="C9" s="25" t="n">
        <f aca="false">$A9*C$6</f>
        <v>500</v>
      </c>
      <c r="D9" s="25" t="n">
        <f aca="false">$A9*D$6</f>
        <v>600</v>
      </c>
      <c r="E9" s="25" t="n">
        <f aca="false">$A9*E$6</f>
        <v>700</v>
      </c>
      <c r="F9" s="25" t="n">
        <f aca="false">$A9*F$6</f>
        <v>800</v>
      </c>
    </row>
    <row r="10" customFormat="false" ht="15" hidden="false" customHeight="false" outlineLevel="0" collapsed="false">
      <c r="A10" s="30" t="n">
        <v>25</v>
      </c>
      <c r="B10" s="25" t="n">
        <f aca="false">$A10*B$6</f>
        <v>500</v>
      </c>
      <c r="C10" s="25" t="n">
        <f aca="false">$A10*C$6</f>
        <v>625</v>
      </c>
      <c r="D10" s="25" t="n">
        <f aca="false">$A10*D$6</f>
        <v>750</v>
      </c>
      <c r="E10" s="25" t="n">
        <f aca="false">$A10*E$6</f>
        <v>875</v>
      </c>
      <c r="F10" s="25" t="n">
        <f aca="false">$A10*F$6</f>
        <v>1000</v>
      </c>
    </row>
    <row r="11" customFormat="false" ht="15" hidden="false" customHeight="false" outlineLevel="0" collapsed="false">
      <c r="A11" s="30" t="n">
        <v>33</v>
      </c>
      <c r="B11" s="25" t="n">
        <f aca="false">$A11*B$6</f>
        <v>660</v>
      </c>
      <c r="C11" s="25" t="n">
        <f aca="false">$A11*C$6</f>
        <v>825</v>
      </c>
      <c r="D11" s="25" t="n">
        <f aca="false">$A11*D$6</f>
        <v>990</v>
      </c>
      <c r="E11" s="25" t="n">
        <f aca="false">$A11*E$6</f>
        <v>1155</v>
      </c>
      <c r="F11" s="25" t="n">
        <f aca="false">$A11*F$6</f>
        <v>1320</v>
      </c>
    </row>
    <row r="12" customFormat="false" ht="15" hidden="false" customHeight="false" outlineLevel="0" collapsed="false">
      <c r="A12" s="30" t="n">
        <v>45</v>
      </c>
      <c r="B12" s="25" t="n">
        <f aca="false">$A12*B$6</f>
        <v>900</v>
      </c>
      <c r="C12" s="25" t="n">
        <f aca="false">$A12*C$6</f>
        <v>1125</v>
      </c>
      <c r="D12" s="25" t="n">
        <f aca="false">$A12*D$6</f>
        <v>1350</v>
      </c>
      <c r="E12" s="25" t="n">
        <f aca="false">$A12*E$6</f>
        <v>1575</v>
      </c>
      <c r="F12" s="25" t="n">
        <f aca="false">$A12*F$6</f>
        <v>1800</v>
      </c>
    </row>
    <row r="13" customFormat="false" ht="15" hidden="false" customHeight="false" outlineLevel="0" collapsed="false">
      <c r="A13" s="30" t="n">
        <v>60</v>
      </c>
      <c r="B13" s="25" t="n">
        <f aca="false">$A13*B$6</f>
        <v>1200</v>
      </c>
      <c r="C13" s="25" t="n">
        <f aca="false">$A13*C$6</f>
        <v>1500</v>
      </c>
      <c r="D13" s="25" t="n">
        <f aca="false">$A13*D$6</f>
        <v>1800</v>
      </c>
      <c r="E13" s="25" t="n">
        <f aca="false">$A13*E$6</f>
        <v>2100</v>
      </c>
      <c r="F13" s="25" t="n">
        <f aca="false">$A13*F$6</f>
        <v>2400</v>
      </c>
    </row>
    <row r="14" customFormat="false" ht="15" hidden="false" customHeight="false" outlineLevel="0" collapsed="false">
      <c r="A14" s="18" t="s">
        <v>274</v>
      </c>
    </row>
    <row r="16" customFormat="false" ht="15" hidden="false" customHeight="false" outlineLevel="0" collapsed="false">
      <c r="A16" s="21" t="s">
        <v>275</v>
      </c>
      <c r="B16" s="22"/>
      <c r="C16" s="22"/>
      <c r="D16" s="22"/>
      <c r="E16" s="22"/>
      <c r="F16" s="22"/>
      <c r="G16" s="22"/>
      <c r="H16" s="22"/>
    </row>
    <row r="17" customFormat="false" ht="15" hidden="false" customHeight="false" outlineLevel="0" collapsed="false">
      <c r="A17" s="23" t="s">
        <v>276</v>
      </c>
      <c r="B17" s="25" t="n">
        <f aca="false">MAX(0,-'P&amp;L'!B26/6)</f>
        <v>129.990666666667</v>
      </c>
    </row>
    <row r="18" customFormat="false" ht="15" hidden="false" customHeight="false" outlineLevel="0" collapsed="false">
      <c r="A18" s="23" t="s">
        <v>277</v>
      </c>
      <c r="B18" s="33" t="n">
        <f aca="false">IF(B17=0,99,Assumptions!$B$10/B17)</f>
        <v>1.15392900003077</v>
      </c>
    </row>
    <row r="19" customFormat="false" ht="15" hidden="false" customHeight="false" outlineLevel="0" collapsed="false">
      <c r="A19" s="19" t="s">
        <v>278</v>
      </c>
      <c r="B19" s="44" t="s">
        <v>279</v>
      </c>
    </row>
    <row r="21" customFormat="false" ht="15" hidden="false" customHeight="false" outlineLevel="0" collapsed="false">
      <c r="A21" s="18" t="s">
        <v>280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6" t="s">
        <v>281</v>
      </c>
    </row>
    <row r="2" customFormat="false" ht="15" hidden="false" customHeight="false" outlineLevel="0" collapsed="false">
      <c r="A2" s="17" t="s">
        <v>282</v>
      </c>
    </row>
    <row r="3" customFormat="false" ht="15" hidden="false" customHeight="false" outlineLevel="0" collapsed="false">
      <c r="A3" s="18" t="s">
        <v>25</v>
      </c>
    </row>
    <row r="5" customFormat="false" ht="43.5" hidden="false" customHeight="true" outlineLevel="0" collapsed="false">
      <c r="A5" s="19" t="s">
        <v>283</v>
      </c>
      <c r="B5" s="20" t="s">
        <v>284</v>
      </c>
    </row>
    <row r="6" customFormat="false" ht="43.5" hidden="false" customHeight="true" outlineLevel="0" collapsed="false">
      <c r="A6" s="19" t="s">
        <v>285</v>
      </c>
      <c r="B6" s="20" t="s">
        <v>286</v>
      </c>
    </row>
    <row r="7" customFormat="false" ht="43.5" hidden="false" customHeight="true" outlineLevel="0" collapsed="false">
      <c r="A7" s="19" t="s">
        <v>287</v>
      </c>
      <c r="B7" s="20" t="s">
        <v>288</v>
      </c>
    </row>
    <row r="8" customFormat="false" ht="43.5" hidden="false" customHeight="true" outlineLevel="0" collapsed="false">
      <c r="A8" s="19" t="s">
        <v>289</v>
      </c>
      <c r="B8" s="20" t="s">
        <v>290</v>
      </c>
    </row>
    <row r="9" customFormat="false" ht="43.5" hidden="false" customHeight="true" outlineLevel="0" collapsed="false">
      <c r="A9" s="19" t="s">
        <v>291</v>
      </c>
      <c r="B9" s="20" t="s">
        <v>292</v>
      </c>
    </row>
    <row r="10" customFormat="false" ht="43.5" hidden="false" customHeight="true" outlineLevel="0" collapsed="false">
      <c r="A10" s="19" t="s">
        <v>293</v>
      </c>
      <c r="B10" s="20" t="s">
        <v>294</v>
      </c>
    </row>
    <row r="11" customFormat="false" ht="43.5" hidden="false" customHeight="true" outlineLevel="0" collapsed="false">
      <c r="A11" s="19" t="s">
        <v>295</v>
      </c>
      <c r="B11" s="20" t="s">
        <v>296</v>
      </c>
    </row>
    <row r="12" customFormat="false" ht="43.5" hidden="false" customHeight="true" outlineLevel="0" collapsed="false">
      <c r="A12" s="19" t="s">
        <v>297</v>
      </c>
      <c r="B12" s="20" t="s">
        <v>298</v>
      </c>
    </row>
    <row r="13" customFormat="false" ht="43.5" hidden="false" customHeight="true" outlineLevel="0" collapsed="false">
      <c r="A13" s="19" t="s">
        <v>299</v>
      </c>
      <c r="B13" s="20" t="s">
        <v>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2026-07-21T11:58:07Z</dcterms:created>
  <dc:creator>openpyxl</dc:creator>
  <dc:description/>
  <dc:language>en-US</dc:language>
  <cp:lastModifiedBy/>
  <dcterms:modified xsi:type="dcterms:W3CDTF">2026-07-21T11:58:07Z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